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autoCompressPictures="0"/>
  <mc:AlternateContent xmlns:mc="http://schemas.openxmlformats.org/markup-compatibility/2006">
    <mc:Choice Requires="x15">
      <x15ac:absPath xmlns:x15ac="http://schemas.microsoft.com/office/spreadsheetml/2010/11/ac" url="H:\2025\Conflict minerals\"/>
    </mc:Choice>
  </mc:AlternateContent>
  <xr:revisionPtr revIDLastSave="0" documentId="13_ncr:1_{D66A1F72-8F3B-4234-B375-5090AA109F4D}"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28680" yWindow="-120" windowWidth="29040" windowHeight="15720" tabRatio="789"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T9" i="5"/>
  <c r="T13" i="5"/>
  <c r="T14" i="5"/>
  <c r="T15" i="5"/>
  <c r="T16" i="5"/>
  <c r="T17" i="5"/>
  <c r="T18" i="5"/>
  <c r="T23" i="5"/>
  <c r="T28" i="5"/>
  <c r="T38" i="5"/>
  <c r="T39" i="5"/>
  <c r="T40" i="5"/>
  <c r="T41" i="5"/>
  <c r="T53" i="5"/>
  <c r="T63" i="5"/>
  <c r="T68" i="5"/>
  <c r="T89" i="5"/>
  <c r="T204" i="5"/>
  <c r="T216" i="5"/>
  <c r="T219" i="5"/>
  <c r="T247"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R5" i="5" s="1"/>
  <c r="X5" i="5"/>
  <c r="V6" i="5"/>
  <c r="V7"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D4" i="5"/>
  <c r="E4" i="5"/>
  <c r="X6" i="5"/>
  <c r="X7" i="5"/>
  <c r="X8" i="5"/>
  <c r="V9" i="5"/>
  <c r="X9" i="5"/>
  <c r="V10" i="5"/>
  <c r="X10" i="5"/>
  <c r="V11" i="5"/>
  <c r="R11" i="5" s="1"/>
  <c r="X11" i="5"/>
  <c r="V12" i="5"/>
  <c r="X12" i="5"/>
  <c r="V13" i="5"/>
  <c r="R13" i="5" s="1"/>
  <c r="X13" i="5"/>
  <c r="V14" i="5"/>
  <c r="X14" i="5"/>
  <c r="V15" i="5"/>
  <c r="X15" i="5"/>
  <c r="V16" i="5"/>
  <c r="X16" i="5"/>
  <c r="V17" i="5"/>
  <c r="R17" i="5" s="1"/>
  <c r="X17" i="5"/>
  <c r="V18" i="5"/>
  <c r="R18" i="5" s="1"/>
  <c r="X18" i="5"/>
  <c r="V19" i="5"/>
  <c r="R19" i="5" s="1"/>
  <c r="X19" i="5"/>
  <c r="V20" i="5"/>
  <c r="X20" i="5"/>
  <c r="V21" i="5"/>
  <c r="X21" i="5"/>
  <c r="V22" i="5"/>
  <c r="X22" i="5"/>
  <c r="V23" i="5"/>
  <c r="R23" i="5" s="1"/>
  <c r="X23" i="5"/>
  <c r="V24" i="5"/>
  <c r="X24" i="5"/>
  <c r="V25" i="5"/>
  <c r="R25" i="5" s="1"/>
  <c r="X25" i="5"/>
  <c r="V26" i="5"/>
  <c r="X26" i="5"/>
  <c r="V27" i="5"/>
  <c r="X27" i="5"/>
  <c r="V28" i="5"/>
  <c r="X28" i="5"/>
  <c r="V29" i="5"/>
  <c r="R29" i="5" s="1"/>
  <c r="X29" i="5"/>
  <c r="V30" i="5"/>
  <c r="X30" i="5"/>
  <c r="V31" i="5"/>
  <c r="X31" i="5"/>
  <c r="V32" i="5"/>
  <c r="X32" i="5"/>
  <c r="V33" i="5"/>
  <c r="X33" i="5"/>
  <c r="V34" i="5"/>
  <c r="X34" i="5"/>
  <c r="V35" i="5"/>
  <c r="R35" i="5" s="1"/>
  <c r="X35" i="5"/>
  <c r="V36" i="5"/>
  <c r="X36" i="5"/>
  <c r="V37" i="5"/>
  <c r="R37" i="5" s="1"/>
  <c r="X37" i="5"/>
  <c r="V38" i="5"/>
  <c r="R38" i="5" s="1"/>
  <c r="X38" i="5"/>
  <c r="V39" i="5"/>
  <c r="X39" i="5"/>
  <c r="V40" i="5"/>
  <c r="X40" i="5"/>
  <c r="V41" i="5"/>
  <c r="R41" i="5" s="1"/>
  <c r="X41" i="5"/>
  <c r="V42" i="5"/>
  <c r="X42" i="5"/>
  <c r="V43" i="5"/>
  <c r="R43" i="5" s="1"/>
  <c r="X43" i="5"/>
  <c r="V44" i="5"/>
  <c r="R44" i="5" s="1"/>
  <c r="X44" i="5"/>
  <c r="V45" i="5"/>
  <c r="X45" i="5"/>
  <c r="V46" i="5"/>
  <c r="X46" i="5"/>
  <c r="V47" i="5"/>
  <c r="R47" i="5" s="1"/>
  <c r="X47" i="5"/>
  <c r="V48" i="5"/>
  <c r="X48" i="5"/>
  <c r="V49" i="5"/>
  <c r="X49" i="5"/>
  <c r="V50" i="5"/>
  <c r="X50" i="5"/>
  <c r="V51" i="5"/>
  <c r="X51" i="5"/>
  <c r="V52" i="5"/>
  <c r="X52" i="5"/>
  <c r="V53" i="5"/>
  <c r="R53" i="5" s="1"/>
  <c r="X53" i="5"/>
  <c r="V54" i="5"/>
  <c r="X54" i="5"/>
  <c r="V55" i="5"/>
  <c r="R55" i="5" s="1"/>
  <c r="X55" i="5"/>
  <c r="V56" i="5"/>
  <c r="X56" i="5"/>
  <c r="V57" i="5"/>
  <c r="X57" i="5"/>
  <c r="V58" i="5"/>
  <c r="X58" i="5"/>
  <c r="V59" i="5"/>
  <c r="R59" i="5" s="1"/>
  <c r="X59" i="5"/>
  <c r="V60" i="5"/>
  <c r="X60" i="5"/>
  <c r="V61" i="5"/>
  <c r="R61" i="5" s="1"/>
  <c r="X61" i="5"/>
  <c r="V62" i="5"/>
  <c r="X62" i="5"/>
  <c r="V63" i="5"/>
  <c r="X63" i="5"/>
  <c r="V64" i="5"/>
  <c r="X64" i="5"/>
  <c r="V65" i="5"/>
  <c r="R65" i="5" s="1"/>
  <c r="X65" i="5"/>
  <c r="V66" i="5"/>
  <c r="R66" i="5" s="1"/>
  <c r="X66" i="5"/>
  <c r="V67" i="5"/>
  <c r="R67" i="5" s="1"/>
  <c r="X67" i="5"/>
  <c r="V68" i="5"/>
  <c r="R68" i="5" s="1"/>
  <c r="X68" i="5"/>
  <c r="V69" i="5"/>
  <c r="X69" i="5"/>
  <c r="V70" i="5"/>
  <c r="X70" i="5"/>
  <c r="V71" i="5"/>
  <c r="R71" i="5" s="1"/>
  <c r="X71" i="5"/>
  <c r="V72" i="5"/>
  <c r="X72" i="5"/>
  <c r="V73" i="5"/>
  <c r="R73" i="5" s="1"/>
  <c r="X73" i="5"/>
  <c r="V74" i="5"/>
  <c r="R74" i="5" s="1"/>
  <c r="X74" i="5"/>
  <c r="V75" i="5"/>
  <c r="X75" i="5"/>
  <c r="V76" i="5"/>
  <c r="X76" i="5"/>
  <c r="V77" i="5"/>
  <c r="R77" i="5" s="1"/>
  <c r="X77" i="5"/>
  <c r="V78" i="5"/>
  <c r="X78" i="5"/>
  <c r="V79" i="5"/>
  <c r="R79" i="5" s="1"/>
  <c r="X79" i="5"/>
  <c r="V80" i="5"/>
  <c r="X80" i="5"/>
  <c r="V81" i="5"/>
  <c r="X81" i="5"/>
  <c r="V82" i="5"/>
  <c r="X82" i="5"/>
  <c r="V83" i="5"/>
  <c r="R83" i="5" s="1"/>
  <c r="X83" i="5"/>
  <c r="V84" i="5"/>
  <c r="X84" i="5"/>
  <c r="V85" i="5"/>
  <c r="R85" i="5" s="1"/>
  <c r="X85" i="5"/>
  <c r="V86" i="5"/>
  <c r="X86" i="5"/>
  <c r="V87" i="5"/>
  <c r="X87" i="5"/>
  <c r="V88" i="5"/>
  <c r="R88" i="5" s="1"/>
  <c r="X88" i="5"/>
  <c r="V89" i="5"/>
  <c r="R89" i="5" s="1"/>
  <c r="X89" i="5"/>
  <c r="V90" i="5"/>
  <c r="X90" i="5"/>
  <c r="V91" i="5"/>
  <c r="R91" i="5" s="1"/>
  <c r="X91" i="5"/>
  <c r="V92" i="5"/>
  <c r="R92" i="5" s="1"/>
  <c r="X92" i="5"/>
  <c r="V93" i="5"/>
  <c r="X93" i="5"/>
  <c r="V94" i="5"/>
  <c r="X94" i="5"/>
  <c r="V95" i="5"/>
  <c r="R95" i="5" s="1"/>
  <c r="X95" i="5"/>
  <c r="V96" i="5"/>
  <c r="X96" i="5"/>
  <c r="V97" i="5"/>
  <c r="R97" i="5" s="1"/>
  <c r="X97" i="5"/>
  <c r="V98" i="5"/>
  <c r="X98" i="5"/>
  <c r="V99" i="5"/>
  <c r="X99" i="5"/>
  <c r="V100" i="5"/>
  <c r="X100" i="5"/>
  <c r="V101" i="5"/>
  <c r="R101" i="5" s="1"/>
  <c r="X101" i="5"/>
  <c r="V102" i="5"/>
  <c r="X102" i="5"/>
  <c r="V103" i="5"/>
  <c r="R103" i="5" s="1"/>
  <c r="X103" i="5"/>
  <c r="V104" i="5"/>
  <c r="X104" i="5"/>
  <c r="V105" i="5"/>
  <c r="X105" i="5"/>
  <c r="V106" i="5"/>
  <c r="X106" i="5"/>
  <c r="V107" i="5"/>
  <c r="X107" i="5"/>
  <c r="V108" i="5"/>
  <c r="R108" i="5" s="1"/>
  <c r="X108" i="5"/>
  <c r="V109" i="5"/>
  <c r="R109" i="5" s="1"/>
  <c r="X109" i="5"/>
  <c r="V110" i="5"/>
  <c r="R110" i="5" s="1"/>
  <c r="X110" i="5"/>
  <c r="V111" i="5"/>
  <c r="X111" i="5"/>
  <c r="V112" i="5"/>
  <c r="X112" i="5"/>
  <c r="V113" i="5"/>
  <c r="R113" i="5" s="1"/>
  <c r="X113" i="5"/>
  <c r="V114" i="5"/>
  <c r="X114" i="5"/>
  <c r="V115" i="5"/>
  <c r="X115" i="5"/>
  <c r="V116" i="5"/>
  <c r="X116" i="5"/>
  <c r="V117" i="5"/>
  <c r="X117" i="5"/>
  <c r="V118" i="5"/>
  <c r="X118" i="5"/>
  <c r="V119" i="5"/>
  <c r="R119" i="5" s="1"/>
  <c r="X119" i="5"/>
  <c r="V120" i="5"/>
  <c r="X120" i="5"/>
  <c r="V121" i="5"/>
  <c r="R121" i="5" s="1"/>
  <c r="X121" i="5"/>
  <c r="V122" i="5"/>
  <c r="R122" i="5" s="1"/>
  <c r="X122" i="5"/>
  <c r="V123" i="5"/>
  <c r="X123" i="5"/>
  <c r="V124" i="5"/>
  <c r="X124" i="5"/>
  <c r="V125" i="5"/>
  <c r="R125" i="5" s="1"/>
  <c r="X125" i="5"/>
  <c r="V126" i="5"/>
  <c r="X126" i="5"/>
  <c r="V127" i="5"/>
  <c r="R127" i="5" s="1"/>
  <c r="X127" i="5"/>
  <c r="V128" i="5"/>
  <c r="X128" i="5"/>
  <c r="V129" i="5"/>
  <c r="X129" i="5"/>
  <c r="V130" i="5"/>
  <c r="X130" i="5"/>
  <c r="V131" i="5"/>
  <c r="R131" i="5" s="1"/>
  <c r="X131" i="5"/>
  <c r="V132" i="5"/>
  <c r="X132" i="5"/>
  <c r="V133" i="5"/>
  <c r="X133" i="5"/>
  <c r="V134" i="5"/>
  <c r="X134" i="5"/>
  <c r="V135" i="5"/>
  <c r="X135" i="5"/>
  <c r="V136" i="5"/>
  <c r="X136" i="5"/>
  <c r="V137" i="5"/>
  <c r="R137" i="5" s="1"/>
  <c r="X137" i="5"/>
  <c r="V138" i="5"/>
  <c r="X138" i="5"/>
  <c r="V139" i="5"/>
  <c r="R139" i="5" s="1"/>
  <c r="X139" i="5"/>
  <c r="V140" i="5"/>
  <c r="X140" i="5"/>
  <c r="V141" i="5"/>
  <c r="X141" i="5"/>
  <c r="V142" i="5"/>
  <c r="X142" i="5"/>
  <c r="V143" i="5"/>
  <c r="R143" i="5" s="1"/>
  <c r="X143" i="5"/>
  <c r="V144" i="5"/>
  <c r="X144" i="5"/>
  <c r="V145" i="5"/>
  <c r="X145" i="5"/>
  <c r="V146" i="5"/>
  <c r="X146" i="5"/>
  <c r="V147" i="5"/>
  <c r="X147" i="5"/>
  <c r="V148" i="5"/>
  <c r="X148" i="5"/>
  <c r="V149" i="5"/>
  <c r="R149" i="5" s="1"/>
  <c r="X149" i="5"/>
  <c r="V150" i="5"/>
  <c r="X150" i="5"/>
  <c r="V151" i="5"/>
  <c r="X151" i="5"/>
  <c r="V152" i="5"/>
  <c r="X152" i="5"/>
  <c r="V153" i="5"/>
  <c r="X153" i="5"/>
  <c r="V154" i="5"/>
  <c r="X154" i="5"/>
  <c r="V155" i="5"/>
  <c r="R155" i="5" s="1"/>
  <c r="X155" i="5"/>
  <c r="V156" i="5"/>
  <c r="R156" i="5" s="1"/>
  <c r="X156" i="5"/>
  <c r="V157" i="5"/>
  <c r="X157" i="5"/>
  <c r="V158" i="5"/>
  <c r="X158" i="5"/>
  <c r="V159" i="5"/>
  <c r="X159" i="5"/>
  <c r="V160" i="5"/>
  <c r="X160" i="5"/>
  <c r="V161" i="5"/>
  <c r="R161" i="5" s="1"/>
  <c r="X161" i="5"/>
  <c r="V162" i="5"/>
  <c r="R162" i="5" s="1"/>
  <c r="X162" i="5"/>
  <c r="V163" i="5"/>
  <c r="X163" i="5"/>
  <c r="V164" i="5"/>
  <c r="X164" i="5"/>
  <c r="V165" i="5"/>
  <c r="X165" i="5"/>
  <c r="V166" i="5"/>
  <c r="X166" i="5"/>
  <c r="V167" i="5"/>
  <c r="R167" i="5" s="1"/>
  <c r="X167" i="5"/>
  <c r="V168" i="5"/>
  <c r="X168" i="5"/>
  <c r="V169" i="5"/>
  <c r="X169" i="5"/>
  <c r="V170" i="5"/>
  <c r="R170" i="5" s="1"/>
  <c r="X170" i="5"/>
  <c r="V171" i="5"/>
  <c r="X171" i="5"/>
  <c r="V172" i="5"/>
  <c r="X172" i="5"/>
  <c r="V173" i="5"/>
  <c r="R173" i="5" s="1"/>
  <c r="X173" i="5"/>
  <c r="V174" i="5"/>
  <c r="X174" i="5"/>
  <c r="V175" i="5"/>
  <c r="X175" i="5"/>
  <c r="V176" i="5"/>
  <c r="R176" i="5" s="1"/>
  <c r="X176" i="5"/>
  <c r="V177" i="5"/>
  <c r="X177" i="5"/>
  <c r="V178" i="5"/>
  <c r="X178" i="5"/>
  <c r="V179" i="5"/>
  <c r="R179" i="5" s="1"/>
  <c r="X179" i="5"/>
  <c r="V180" i="5"/>
  <c r="X180" i="5"/>
  <c r="V181" i="5"/>
  <c r="R181" i="5" s="1"/>
  <c r="X181" i="5"/>
  <c r="V182" i="5"/>
  <c r="R182" i="5" s="1"/>
  <c r="X182" i="5"/>
  <c r="V183" i="5"/>
  <c r="X183" i="5"/>
  <c r="V184" i="5"/>
  <c r="X184" i="5"/>
  <c r="V185" i="5"/>
  <c r="R185" i="5" s="1"/>
  <c r="X185" i="5"/>
  <c r="V186" i="5"/>
  <c r="R186" i="5" s="1"/>
  <c r="X186" i="5"/>
  <c r="V187" i="5"/>
  <c r="R187" i="5" s="1"/>
  <c r="X187" i="5"/>
  <c r="V188" i="5"/>
  <c r="X188" i="5"/>
  <c r="V189" i="5"/>
  <c r="X189" i="5"/>
  <c r="V190" i="5"/>
  <c r="X190" i="5"/>
  <c r="V191" i="5"/>
  <c r="R191" i="5" s="1"/>
  <c r="X191" i="5"/>
  <c r="V192" i="5"/>
  <c r="X192" i="5"/>
  <c r="V193" i="5"/>
  <c r="R193" i="5" s="1"/>
  <c r="X193" i="5"/>
  <c r="V194" i="5"/>
  <c r="R194" i="5" s="1"/>
  <c r="X194" i="5"/>
  <c r="V195" i="5"/>
  <c r="X195" i="5"/>
  <c r="V196" i="5"/>
  <c r="X196" i="5"/>
  <c r="V197" i="5"/>
  <c r="R197" i="5" s="1"/>
  <c r="X197" i="5"/>
  <c r="V198" i="5"/>
  <c r="X198" i="5"/>
  <c r="V199" i="5"/>
  <c r="X199" i="5"/>
  <c r="V200" i="5"/>
  <c r="R200" i="5" s="1"/>
  <c r="X200" i="5"/>
  <c r="V201" i="5"/>
  <c r="X201" i="5"/>
  <c r="V202" i="5"/>
  <c r="X202" i="5"/>
  <c r="V203" i="5"/>
  <c r="R203" i="5" s="1"/>
  <c r="X203" i="5"/>
  <c r="V204" i="5"/>
  <c r="X204" i="5"/>
  <c r="V205" i="5"/>
  <c r="R205" i="5" s="1"/>
  <c r="X205" i="5"/>
  <c r="V206" i="5"/>
  <c r="R206" i="5" s="1"/>
  <c r="X206" i="5"/>
  <c r="V207" i="5"/>
  <c r="X207" i="5"/>
  <c r="V208" i="5"/>
  <c r="R208" i="5" s="1"/>
  <c r="X208" i="5"/>
  <c r="V209" i="5"/>
  <c r="R209" i="5" s="1"/>
  <c r="X209" i="5"/>
  <c r="V210" i="5"/>
  <c r="X210" i="5"/>
  <c r="V211" i="5"/>
  <c r="R211" i="5" s="1"/>
  <c r="X211" i="5"/>
  <c r="V212" i="5"/>
  <c r="R212" i="5" s="1"/>
  <c r="X212" i="5"/>
  <c r="V213" i="5"/>
  <c r="X213" i="5"/>
  <c r="V214" i="5"/>
  <c r="X214" i="5"/>
  <c r="V215" i="5"/>
  <c r="R215" i="5" s="1"/>
  <c r="X215" i="5"/>
  <c r="V216" i="5"/>
  <c r="X216" i="5"/>
  <c r="V217" i="5"/>
  <c r="X217" i="5"/>
  <c r="V218" i="5"/>
  <c r="R218" i="5" s="1"/>
  <c r="X218" i="5"/>
  <c r="V219" i="5"/>
  <c r="X219" i="5"/>
  <c r="V220" i="5"/>
  <c r="X220" i="5"/>
  <c r="V221" i="5"/>
  <c r="R221" i="5" s="1"/>
  <c r="X221" i="5"/>
  <c r="V222" i="5"/>
  <c r="X222" i="5"/>
  <c r="V223" i="5"/>
  <c r="X223" i="5"/>
  <c r="V224" i="5"/>
  <c r="R224" i="5" s="1"/>
  <c r="X224" i="5"/>
  <c r="V225" i="5"/>
  <c r="X225" i="5"/>
  <c r="V226" i="5"/>
  <c r="X226" i="5"/>
  <c r="V227" i="5"/>
  <c r="R227" i="5" s="1"/>
  <c r="X227" i="5"/>
  <c r="V228" i="5"/>
  <c r="R228" i="5" s="1"/>
  <c r="X228" i="5"/>
  <c r="V229" i="5"/>
  <c r="X229" i="5"/>
  <c r="V230" i="5"/>
  <c r="R230" i="5" s="1"/>
  <c r="X230" i="5"/>
  <c r="V231" i="5"/>
  <c r="X231" i="5"/>
  <c r="V232" i="5"/>
  <c r="X232" i="5"/>
  <c r="V233" i="5"/>
  <c r="R233" i="5" s="1"/>
  <c r="X233" i="5"/>
  <c r="V234" i="5"/>
  <c r="R234" i="5" s="1"/>
  <c r="X234" i="5"/>
  <c r="V235" i="5"/>
  <c r="R235" i="5" s="1"/>
  <c r="X235" i="5"/>
  <c r="V236" i="5"/>
  <c r="R236" i="5" s="1"/>
  <c r="X236" i="5"/>
  <c r="V237" i="5"/>
  <c r="X237" i="5"/>
  <c r="V238" i="5"/>
  <c r="X238" i="5"/>
  <c r="V239" i="5"/>
  <c r="R239" i="5" s="1"/>
  <c r="X239" i="5"/>
  <c r="V240" i="5"/>
  <c r="X240" i="5"/>
  <c r="V241" i="5"/>
  <c r="R241" i="5" s="1"/>
  <c r="X241" i="5"/>
  <c r="V242" i="5"/>
  <c r="R242" i="5" s="1"/>
  <c r="X242" i="5"/>
  <c r="V243" i="5"/>
  <c r="X243" i="5"/>
  <c r="V244" i="5"/>
  <c r="X244" i="5"/>
  <c r="V245" i="5"/>
  <c r="R245" i="5" s="1"/>
  <c r="X245" i="5"/>
  <c r="V246" i="5"/>
  <c r="X246" i="5"/>
  <c r="V247" i="5"/>
  <c r="R247" i="5" s="1"/>
  <c r="X247" i="5"/>
  <c r="V248" i="5"/>
  <c r="R248" i="5" s="1"/>
  <c r="X248" i="5"/>
  <c r="V249" i="5"/>
  <c r="X249" i="5"/>
  <c r="V250" i="5"/>
  <c r="X250" i="5"/>
  <c r="V251" i="5"/>
  <c r="R251" i="5" s="1"/>
  <c r="X251" i="5"/>
  <c r="V252" i="5"/>
  <c r="X252" i="5"/>
  <c r="V253" i="5"/>
  <c r="R253" i="5" s="1"/>
  <c r="X253" i="5"/>
  <c r="V254" i="5"/>
  <c r="R254" i="5" s="1"/>
  <c r="X254" i="5"/>
  <c r="V255" i="5"/>
  <c r="X255" i="5"/>
  <c r="V256" i="5"/>
  <c r="X256" i="5"/>
  <c r="V257" i="5"/>
  <c r="R257" i="5" s="1"/>
  <c r="X257" i="5"/>
  <c r="V258" i="5"/>
  <c r="X258" i="5"/>
  <c r="V259" i="5"/>
  <c r="R259" i="5" s="1"/>
  <c r="X259" i="5"/>
  <c r="V260" i="5"/>
  <c r="R260" i="5" s="1"/>
  <c r="X260" i="5"/>
  <c r="V261" i="5"/>
  <c r="X261" i="5"/>
  <c r="V262" i="5"/>
  <c r="X262" i="5"/>
  <c r="V263" i="5"/>
  <c r="R263" i="5" s="1"/>
  <c r="X263" i="5"/>
  <c r="V264" i="5"/>
  <c r="X264" i="5"/>
  <c r="V265" i="5"/>
  <c r="X265" i="5"/>
  <c r="V266" i="5"/>
  <c r="R266" i="5" s="1"/>
  <c r="X266" i="5"/>
  <c r="V267" i="5"/>
  <c r="X267" i="5"/>
  <c r="V268" i="5"/>
  <c r="X268" i="5"/>
  <c r="V269" i="5"/>
  <c r="R269" i="5" s="1"/>
  <c r="X269" i="5"/>
  <c r="V270" i="5"/>
  <c r="R270" i="5" s="1"/>
  <c r="X270" i="5"/>
  <c r="V271" i="5"/>
  <c r="R271" i="5" s="1"/>
  <c r="X271" i="5"/>
  <c r="V272" i="5"/>
  <c r="X272" i="5"/>
  <c r="V273" i="5"/>
  <c r="X273" i="5"/>
  <c r="V274" i="5"/>
  <c r="X274" i="5"/>
  <c r="V275" i="5"/>
  <c r="R275" i="5" s="1"/>
  <c r="X275" i="5"/>
  <c r="V276" i="5"/>
  <c r="X276" i="5"/>
  <c r="V277" i="5"/>
  <c r="X277" i="5"/>
  <c r="V278" i="5"/>
  <c r="R278" i="5" s="1"/>
  <c r="X278" i="5"/>
  <c r="V279" i="5"/>
  <c r="X279" i="5"/>
  <c r="V280" i="5"/>
  <c r="X280" i="5"/>
  <c r="V281" i="5"/>
  <c r="R281" i="5" s="1"/>
  <c r="X281" i="5"/>
  <c r="V282" i="5"/>
  <c r="X282" i="5"/>
  <c r="V283" i="5"/>
  <c r="X283" i="5"/>
  <c r="V284" i="5"/>
  <c r="X284" i="5"/>
  <c r="V285" i="5"/>
  <c r="X285" i="5"/>
  <c r="V286" i="5"/>
  <c r="X286" i="5"/>
  <c r="V287" i="5"/>
  <c r="R287" i="5" s="1"/>
  <c r="X287" i="5"/>
  <c r="V288" i="5"/>
  <c r="X288" i="5"/>
  <c r="V289" i="5"/>
  <c r="X289" i="5"/>
  <c r="V290" i="5"/>
  <c r="R290" i="5" s="1"/>
  <c r="X290" i="5"/>
  <c r="V291" i="5"/>
  <c r="X291" i="5"/>
  <c r="V292" i="5"/>
  <c r="X292" i="5"/>
  <c r="V293" i="5"/>
  <c r="R293" i="5" s="1"/>
  <c r="X293" i="5"/>
  <c r="V294" i="5"/>
  <c r="X294" i="5"/>
  <c r="V295" i="5"/>
  <c r="X295" i="5"/>
  <c r="V296" i="5"/>
  <c r="R296" i="5" s="1"/>
  <c r="X296" i="5"/>
  <c r="V297" i="5"/>
  <c r="X297" i="5"/>
  <c r="V298" i="5"/>
  <c r="X298" i="5"/>
  <c r="V299" i="5"/>
  <c r="R299" i="5" s="1"/>
  <c r="X299" i="5"/>
  <c r="V300" i="5"/>
  <c r="X300" i="5"/>
  <c r="V301" i="5"/>
  <c r="X301" i="5"/>
  <c r="V302" i="5"/>
  <c r="R302" i="5" s="1"/>
  <c r="X302" i="5"/>
  <c r="V303" i="5"/>
  <c r="X303" i="5"/>
  <c r="V304" i="5"/>
  <c r="R304" i="5" s="1"/>
  <c r="X304" i="5"/>
  <c r="V305" i="5"/>
  <c r="R305" i="5" s="1"/>
  <c r="X305" i="5"/>
  <c r="V306" i="5"/>
  <c r="X306" i="5"/>
  <c r="V307" i="5"/>
  <c r="X307" i="5"/>
  <c r="V308" i="5"/>
  <c r="R308" i="5" s="1"/>
  <c r="X308" i="5"/>
  <c r="V309" i="5"/>
  <c r="X309" i="5"/>
  <c r="V310" i="5"/>
  <c r="X310" i="5"/>
  <c r="V311" i="5"/>
  <c r="R311" i="5" s="1"/>
  <c r="X311" i="5"/>
  <c r="V312" i="5"/>
  <c r="X312" i="5"/>
  <c r="V313" i="5"/>
  <c r="X313" i="5"/>
  <c r="V314" i="5"/>
  <c r="R314" i="5" s="1"/>
  <c r="X314" i="5"/>
  <c r="V315" i="5"/>
  <c r="X315" i="5"/>
  <c r="V316" i="5"/>
  <c r="X316" i="5"/>
  <c r="V317" i="5"/>
  <c r="R317" i="5" s="1"/>
  <c r="X317" i="5"/>
  <c r="V318" i="5"/>
  <c r="X318" i="5"/>
  <c r="V319" i="5"/>
  <c r="X319" i="5"/>
  <c r="V320" i="5"/>
  <c r="R320" i="5" s="1"/>
  <c r="X320" i="5"/>
  <c r="V321" i="5"/>
  <c r="X321" i="5"/>
  <c r="V322" i="5"/>
  <c r="X322" i="5"/>
  <c r="V323" i="5"/>
  <c r="R323" i="5" s="1"/>
  <c r="X323" i="5"/>
  <c r="V324" i="5"/>
  <c r="X324" i="5"/>
  <c r="V325" i="5"/>
  <c r="X325" i="5"/>
  <c r="V326" i="5"/>
  <c r="R326" i="5" s="1"/>
  <c r="X326" i="5"/>
  <c r="V327" i="5"/>
  <c r="X327" i="5"/>
  <c r="V328" i="5"/>
  <c r="X328" i="5"/>
  <c r="V329" i="5"/>
  <c r="R329" i="5" s="1"/>
  <c r="X329" i="5"/>
  <c r="V330" i="5"/>
  <c r="X330" i="5"/>
  <c r="V331" i="5"/>
  <c r="R331" i="5" s="1"/>
  <c r="X331" i="5"/>
  <c r="V332" i="5"/>
  <c r="R332" i="5" s="1"/>
  <c r="X332" i="5"/>
  <c r="V333" i="5"/>
  <c r="X333" i="5"/>
  <c r="V334" i="5"/>
  <c r="X334" i="5"/>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E351" i="5"/>
  <c r="X351" i="5" s="1"/>
  <c r="V352" i="5"/>
  <c r="E352" i="5"/>
  <c r="X352" i="5" s="1"/>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E371" i="5"/>
  <c r="X371" i="5" s="1"/>
  <c r="V372" i="5"/>
  <c r="E372" i="5"/>
  <c r="X372" i="5" s="1"/>
  <c r="V373" i="5"/>
  <c r="E373" i="5"/>
  <c r="X373" i="5" s="1"/>
  <c r="V374" i="5"/>
  <c r="E374" i="5"/>
  <c r="X374" i="5" s="1"/>
  <c r="V375" i="5"/>
  <c r="E375" i="5"/>
  <c r="X375" i="5" s="1"/>
  <c r="V376" i="5"/>
  <c r="E376" i="5"/>
  <c r="X376" i="5" s="1"/>
  <c r="V377" i="5"/>
  <c r="E377" i="5"/>
  <c r="X377" i="5" s="1"/>
  <c r="V378" i="5"/>
  <c r="E378" i="5"/>
  <c r="X378" i="5" s="1"/>
  <c r="V379" i="5"/>
  <c r="E379" i="5"/>
  <c r="X379" i="5" s="1"/>
  <c r="V380" i="5"/>
  <c r="E380" i="5"/>
  <c r="X380" i="5" s="1"/>
  <c r="V381" i="5"/>
  <c r="E381" i="5"/>
  <c r="X381" i="5" s="1"/>
  <c r="V382" i="5"/>
  <c r="E382" i="5"/>
  <c r="X382" i="5" s="1"/>
  <c r="V383" i="5"/>
  <c r="E383" i="5"/>
  <c r="X383" i="5" s="1"/>
  <c r="V384" i="5"/>
  <c r="E384" i="5"/>
  <c r="X384" i="5" s="1"/>
  <c r="V385" i="5"/>
  <c r="E385" i="5"/>
  <c r="X385" i="5" s="1"/>
  <c r="V386" i="5"/>
  <c r="E386" i="5"/>
  <c r="X386" i="5" s="1"/>
  <c r="V387" i="5"/>
  <c r="E387" i="5"/>
  <c r="X387" i="5" s="1"/>
  <c r="V388" i="5"/>
  <c r="E388" i="5"/>
  <c r="X388" i="5" s="1"/>
  <c r="V389" i="5"/>
  <c r="E389" i="5"/>
  <c r="X389" i="5" s="1"/>
  <c r="V390" i="5"/>
  <c r="E390" i="5"/>
  <c r="X390" i="5" s="1"/>
  <c r="V391" i="5"/>
  <c r="E391" i="5"/>
  <c r="X391" i="5" s="1"/>
  <c r="V392" i="5"/>
  <c r="E392" i="5"/>
  <c r="X392" i="5" s="1"/>
  <c r="V393" i="5"/>
  <c r="E393" i="5"/>
  <c r="X393" i="5" s="1"/>
  <c r="V394" i="5"/>
  <c r="E394" i="5"/>
  <c r="X394" i="5" s="1"/>
  <c r="V395" i="5"/>
  <c r="E395" i="5"/>
  <c r="X395" i="5" s="1"/>
  <c r="V396" i="5"/>
  <c r="E396" i="5"/>
  <c r="X396" i="5" s="1"/>
  <c r="V397" i="5"/>
  <c r="E397" i="5"/>
  <c r="X397" i="5" s="1"/>
  <c r="V398" i="5"/>
  <c r="E398" i="5"/>
  <c r="X398" i="5" s="1"/>
  <c r="V399" i="5"/>
  <c r="E399" i="5"/>
  <c r="X399" i="5" s="1"/>
  <c r="V400" i="5"/>
  <c r="E400" i="5"/>
  <c r="X400" i="5" s="1"/>
  <c r="V401" i="5"/>
  <c r="E401" i="5"/>
  <c r="X401" i="5" s="1"/>
  <c r="V402" i="5"/>
  <c r="E402" i="5"/>
  <c r="X402" i="5" s="1"/>
  <c r="V403" i="5"/>
  <c r="E403" i="5"/>
  <c r="X403" i="5" s="1"/>
  <c r="V404" i="5"/>
  <c r="E404" i="5"/>
  <c r="X404" i="5" s="1"/>
  <c r="V405" i="5"/>
  <c r="E405" i="5"/>
  <c r="X405" i="5" s="1"/>
  <c r="V406" i="5"/>
  <c r="E406" i="5"/>
  <c r="X406" i="5" s="1"/>
  <c r="V407" i="5"/>
  <c r="E407" i="5"/>
  <c r="X407" i="5" s="1"/>
  <c r="V408" i="5"/>
  <c r="E408" i="5"/>
  <c r="X408" i="5" s="1"/>
  <c r="V409" i="5"/>
  <c r="E409" i="5"/>
  <c r="X409" i="5" s="1"/>
  <c r="V410" i="5"/>
  <c r="E410" i="5"/>
  <c r="X410" i="5" s="1"/>
  <c r="V411" i="5"/>
  <c r="E411" i="5"/>
  <c r="X411" i="5" s="1"/>
  <c r="V412" i="5"/>
  <c r="E412" i="5"/>
  <c r="X412" i="5" s="1"/>
  <c r="V413" i="5"/>
  <c r="E413" i="5"/>
  <c r="X413" i="5" s="1"/>
  <c r="V414" i="5"/>
  <c r="E414" i="5"/>
  <c r="X414" i="5" s="1"/>
  <c r="V415" i="5"/>
  <c r="E415" i="5"/>
  <c r="X415" i="5" s="1"/>
  <c r="V416" i="5"/>
  <c r="E416" i="5"/>
  <c r="X416" i="5" s="1"/>
  <c r="V417" i="5"/>
  <c r="E417" i="5"/>
  <c r="X417" i="5" s="1"/>
  <c r="V418" i="5"/>
  <c r="E418" i="5"/>
  <c r="X418" i="5" s="1"/>
  <c r="V419" i="5"/>
  <c r="E419" i="5"/>
  <c r="X419" i="5" s="1"/>
  <c r="V420" i="5"/>
  <c r="E420" i="5"/>
  <c r="X420" i="5" s="1"/>
  <c r="V421" i="5"/>
  <c r="E421" i="5"/>
  <c r="X421" i="5" s="1"/>
  <c r="V422" i="5"/>
  <c r="E422" i="5"/>
  <c r="X422" i="5" s="1"/>
  <c r="V423" i="5"/>
  <c r="E423" i="5"/>
  <c r="X423" i="5" s="1"/>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E459" i="5"/>
  <c r="X459" i="5" s="1"/>
  <c r="V460" i="5"/>
  <c r="E460" i="5"/>
  <c r="X460" i="5" s="1"/>
  <c r="V461" i="5"/>
  <c r="E461" i="5"/>
  <c r="X461" i="5" s="1"/>
  <c r="V462" i="5"/>
  <c r="E462" i="5"/>
  <c r="X462" i="5" s="1"/>
  <c r="V463" i="5"/>
  <c r="E463" i="5"/>
  <c r="X463" i="5" s="1"/>
  <c r="V464" i="5"/>
  <c r="E464" i="5"/>
  <c r="X464" i="5" s="1"/>
  <c r="V465" i="5"/>
  <c r="E465" i="5"/>
  <c r="X465" i="5" s="1"/>
  <c r="V466" i="5"/>
  <c r="E466" i="5"/>
  <c r="X466" i="5" s="1"/>
  <c r="V467" i="5"/>
  <c r="E467" i="5"/>
  <c r="X467" i="5" s="1"/>
  <c r="V468" i="5"/>
  <c r="E468" i="5"/>
  <c r="X468" i="5" s="1"/>
  <c r="V469" i="5"/>
  <c r="E469" i="5"/>
  <c r="X469" i="5" s="1"/>
  <c r="V470" i="5"/>
  <c r="E470" i="5"/>
  <c r="X470" i="5" s="1"/>
  <c r="V471" i="5"/>
  <c r="E471" i="5"/>
  <c r="X471" i="5" s="1"/>
  <c r="V472" i="5"/>
  <c r="E472" i="5"/>
  <c r="X472" i="5" s="1"/>
  <c r="V473" i="5"/>
  <c r="E473" i="5"/>
  <c r="X473" i="5" s="1"/>
  <c r="V474" i="5"/>
  <c r="E474" i="5"/>
  <c r="X474" i="5" s="1"/>
  <c r="V475" i="5"/>
  <c r="E475" i="5"/>
  <c r="X475" i="5" s="1"/>
  <c r="V476" i="5"/>
  <c r="E476" i="5"/>
  <c r="X476" i="5" s="1"/>
  <c r="V477" i="5"/>
  <c r="E477" i="5"/>
  <c r="X477" i="5" s="1"/>
  <c r="V478" i="5"/>
  <c r="E478" i="5"/>
  <c r="X478" i="5" s="1"/>
  <c r="V479" i="5"/>
  <c r="E479" i="5"/>
  <c r="X479" i="5" s="1"/>
  <c r="V480" i="5"/>
  <c r="E480" i="5"/>
  <c r="X480" i="5" s="1"/>
  <c r="V481" i="5"/>
  <c r="E481" i="5"/>
  <c r="X481" i="5" s="1"/>
  <c r="V482" i="5"/>
  <c r="E482" i="5"/>
  <c r="X482" i="5" s="1"/>
  <c r="V483" i="5"/>
  <c r="E483" i="5"/>
  <c r="X483" i="5" s="1"/>
  <c r="V484" i="5"/>
  <c r="E484" i="5"/>
  <c r="X484" i="5" s="1"/>
  <c r="V485" i="5"/>
  <c r="E485" i="5"/>
  <c r="X485" i="5" s="1"/>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E494" i="5"/>
  <c r="X494" i="5" s="1"/>
  <c r="V495" i="5"/>
  <c r="E495" i="5"/>
  <c r="X495" i="5" s="1"/>
  <c r="V496" i="5"/>
  <c r="E496" i="5"/>
  <c r="X496" i="5" s="1"/>
  <c r="V497" i="5"/>
  <c r="E497" i="5"/>
  <c r="X497" i="5" s="1"/>
  <c r="V498" i="5"/>
  <c r="E498" i="5"/>
  <c r="X498" i="5" s="1"/>
  <c r="V499" i="5"/>
  <c r="E499" i="5"/>
  <c r="X499" i="5" s="1"/>
  <c r="V500" i="5"/>
  <c r="E500" i="5"/>
  <c r="X500" i="5" s="1"/>
  <c r="V501" i="5"/>
  <c r="E501" i="5"/>
  <c r="X501" i="5" s="1"/>
  <c r="V502" i="5"/>
  <c r="E502" i="5"/>
  <c r="X502" i="5" s="1"/>
  <c r="V503" i="5"/>
  <c r="E503" i="5"/>
  <c r="X503" i="5" s="1"/>
  <c r="V504" i="5"/>
  <c r="E504" i="5"/>
  <c r="X504" i="5" s="1"/>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E515" i="5"/>
  <c r="X515" i="5" s="1"/>
  <c r="V516" i="5"/>
  <c r="E516" i="5"/>
  <c r="X516" i="5" s="1"/>
  <c r="V517" i="5"/>
  <c r="E517" i="5"/>
  <c r="X517" i="5" s="1"/>
  <c r="V518" i="5"/>
  <c r="E518" i="5"/>
  <c r="X518" i="5" s="1"/>
  <c r="V519" i="5"/>
  <c r="E519" i="5"/>
  <c r="X519" i="5" s="1"/>
  <c r="V520" i="5"/>
  <c r="E520" i="5"/>
  <c r="X520" i="5" s="1"/>
  <c r="V521" i="5"/>
  <c r="E521" i="5"/>
  <c r="X521" i="5" s="1"/>
  <c r="V522" i="5"/>
  <c r="E522" i="5"/>
  <c r="X522" i="5" s="1"/>
  <c r="V523" i="5"/>
  <c r="E523" i="5"/>
  <c r="X523" i="5" s="1"/>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E547" i="5"/>
  <c r="X547" i="5" s="1"/>
  <c r="V548" i="5"/>
  <c r="E548" i="5"/>
  <c r="X548" i="5" s="1"/>
  <c r="V549" i="5"/>
  <c r="E549" i="5"/>
  <c r="X549" i="5" s="1"/>
  <c r="V550" i="5"/>
  <c r="E550" i="5"/>
  <c r="X550" i="5" s="1"/>
  <c r="V551" i="5"/>
  <c r="E551" i="5"/>
  <c r="X551" i="5" s="1"/>
  <c r="V552" i="5"/>
  <c r="E552" i="5"/>
  <c r="X552" i="5" s="1"/>
  <c r="V553" i="5"/>
  <c r="E553" i="5"/>
  <c r="X553" i="5" s="1"/>
  <c r="V554" i="5"/>
  <c r="E554" i="5"/>
  <c r="X554" i="5" s="1"/>
  <c r="V555" i="5"/>
  <c r="E555" i="5"/>
  <c r="X555" i="5" s="1"/>
  <c r="V556" i="5"/>
  <c r="E556" i="5"/>
  <c r="X556" i="5" s="1"/>
  <c r="V557" i="5"/>
  <c r="E557" i="5"/>
  <c r="X557" i="5" s="1"/>
  <c r="V558" i="5"/>
  <c r="E558" i="5"/>
  <c r="X558" i="5" s="1"/>
  <c r="V559" i="5"/>
  <c r="E559" i="5"/>
  <c r="X559" i="5" s="1"/>
  <c r="V560" i="5"/>
  <c r="E560" i="5"/>
  <c r="X560" i="5" s="1"/>
  <c r="V561" i="5"/>
  <c r="E561" i="5"/>
  <c r="X561" i="5" s="1"/>
  <c r="V562" i="5"/>
  <c r="E562" i="5"/>
  <c r="X562" i="5" s="1"/>
  <c r="V563" i="5"/>
  <c r="E563" i="5"/>
  <c r="X563" i="5" s="1"/>
  <c r="V564" i="5"/>
  <c r="E564" i="5"/>
  <c r="X564" i="5" s="1"/>
  <c r="V565" i="5"/>
  <c r="E565" i="5"/>
  <c r="X565" i="5" s="1"/>
  <c r="V566" i="5"/>
  <c r="E566" i="5"/>
  <c r="X566" i="5" s="1"/>
  <c r="V567" i="5"/>
  <c r="E567" i="5"/>
  <c r="X567" i="5" s="1"/>
  <c r="V568" i="5"/>
  <c r="E568" i="5"/>
  <c r="X568" i="5" s="1"/>
  <c r="V569" i="5"/>
  <c r="E569" i="5"/>
  <c r="X569" i="5" s="1"/>
  <c r="V570" i="5"/>
  <c r="E570" i="5"/>
  <c r="X570" i="5" s="1"/>
  <c r="V571" i="5"/>
  <c r="E571" i="5"/>
  <c r="X571" i="5" s="1"/>
  <c r="V572" i="5"/>
  <c r="E572" i="5"/>
  <c r="X572" i="5" s="1"/>
  <c r="V573" i="5"/>
  <c r="E573" i="5"/>
  <c r="X573" i="5" s="1"/>
  <c r="V574" i="5"/>
  <c r="E574" i="5"/>
  <c r="X574" i="5" s="1"/>
  <c r="V575" i="5"/>
  <c r="E575" i="5"/>
  <c r="X575" i="5" s="1"/>
  <c r="V576" i="5"/>
  <c r="E576" i="5"/>
  <c r="X576" i="5" s="1"/>
  <c r="V577" i="5"/>
  <c r="E577" i="5"/>
  <c r="X577" i="5" s="1"/>
  <c r="V578" i="5"/>
  <c r="E578" i="5"/>
  <c r="X578" i="5" s="1"/>
  <c r="V579" i="5"/>
  <c r="E579" i="5"/>
  <c r="X579" i="5" s="1"/>
  <c r="V580" i="5"/>
  <c r="E580" i="5"/>
  <c r="X580" i="5" s="1"/>
  <c r="V581" i="5"/>
  <c r="E581" i="5"/>
  <c r="X581" i="5" s="1"/>
  <c r="V582" i="5"/>
  <c r="E582" i="5"/>
  <c r="X582" i="5" s="1"/>
  <c r="V583" i="5"/>
  <c r="E583" i="5"/>
  <c r="X583" i="5" s="1"/>
  <c r="V584" i="5"/>
  <c r="E584" i="5"/>
  <c r="X584" i="5" s="1"/>
  <c r="V585" i="5"/>
  <c r="E585" i="5"/>
  <c r="X585" i="5" s="1"/>
  <c r="V586" i="5"/>
  <c r="E586" i="5"/>
  <c r="X586" i="5" s="1"/>
  <c r="V587" i="5"/>
  <c r="E587" i="5"/>
  <c r="X587" i="5" s="1"/>
  <c r="V588" i="5"/>
  <c r="E588" i="5"/>
  <c r="X588" i="5" s="1"/>
  <c r="V589" i="5"/>
  <c r="E589" i="5"/>
  <c r="X589" i="5" s="1"/>
  <c r="V590" i="5"/>
  <c r="E590" i="5"/>
  <c r="X590" i="5" s="1"/>
  <c r="V591" i="5"/>
  <c r="E591" i="5"/>
  <c r="X591" i="5" s="1"/>
  <c r="V592" i="5"/>
  <c r="E592" i="5"/>
  <c r="X592" i="5" s="1"/>
  <c r="V593" i="5"/>
  <c r="E593" i="5"/>
  <c r="X593" i="5" s="1"/>
  <c r="V594" i="5"/>
  <c r="E594" i="5"/>
  <c r="X594" i="5" s="1"/>
  <c r="V595" i="5"/>
  <c r="E595" i="5"/>
  <c r="X595" i="5" s="1"/>
  <c r="V596" i="5"/>
  <c r="E596" i="5"/>
  <c r="X596" i="5" s="1"/>
  <c r="V597" i="5"/>
  <c r="E597" i="5"/>
  <c r="X597" i="5" s="1"/>
  <c r="V598" i="5"/>
  <c r="E598" i="5"/>
  <c r="X598" i="5" s="1"/>
  <c r="V599" i="5"/>
  <c r="E599" i="5"/>
  <c r="X599" i="5" s="1"/>
  <c r="V600" i="5"/>
  <c r="E600" i="5"/>
  <c r="X600" i="5" s="1"/>
  <c r="V601" i="5"/>
  <c r="E601" i="5"/>
  <c r="X601" i="5" s="1"/>
  <c r="V602" i="5"/>
  <c r="E602" i="5"/>
  <c r="X602" i="5" s="1"/>
  <c r="V603" i="5"/>
  <c r="E603" i="5"/>
  <c r="X603" i="5" s="1"/>
  <c r="V604" i="5"/>
  <c r="E604" i="5"/>
  <c r="X604" i="5" s="1"/>
  <c r="V605" i="5"/>
  <c r="E605" i="5"/>
  <c r="X605" i="5" s="1"/>
  <c r="V606" i="5"/>
  <c r="E606" i="5"/>
  <c r="X606" i="5" s="1"/>
  <c r="V607" i="5"/>
  <c r="E607" i="5"/>
  <c r="X607" i="5" s="1"/>
  <c r="V608" i="5"/>
  <c r="E608" i="5"/>
  <c r="X608" i="5" s="1"/>
  <c r="V609" i="5"/>
  <c r="E609" i="5"/>
  <c r="X609" i="5" s="1"/>
  <c r="V610" i="5"/>
  <c r="E610" i="5"/>
  <c r="X610" i="5" s="1"/>
  <c r="V611" i="5"/>
  <c r="E611" i="5"/>
  <c r="X611" i="5" s="1"/>
  <c r="V612" i="5"/>
  <c r="E612" i="5"/>
  <c r="X612" i="5" s="1"/>
  <c r="V613" i="5"/>
  <c r="E613" i="5"/>
  <c r="X613" i="5" s="1"/>
  <c r="V614" i="5"/>
  <c r="E614" i="5"/>
  <c r="X614" i="5" s="1"/>
  <c r="V615" i="5"/>
  <c r="E615" i="5"/>
  <c r="X615" i="5" s="1"/>
  <c r="V616" i="5"/>
  <c r="E616" i="5"/>
  <c r="X616" i="5" s="1"/>
  <c r="V617" i="5"/>
  <c r="E617" i="5"/>
  <c r="X617" i="5" s="1"/>
  <c r="V618" i="5"/>
  <c r="E618" i="5"/>
  <c r="X618" i="5" s="1"/>
  <c r="V619" i="5"/>
  <c r="E619" i="5"/>
  <c r="X619" i="5" s="1"/>
  <c r="V620" i="5"/>
  <c r="E620" i="5"/>
  <c r="X620" i="5" s="1"/>
  <c r="V621" i="5"/>
  <c r="E621" i="5"/>
  <c r="X621" i="5" s="1"/>
  <c r="V622" i="5"/>
  <c r="E622" i="5"/>
  <c r="X622" i="5" s="1"/>
  <c r="V623" i="5"/>
  <c r="E623" i="5"/>
  <c r="X623" i="5" s="1"/>
  <c r="V624" i="5"/>
  <c r="E624" i="5"/>
  <c r="X624" i="5" s="1"/>
  <c r="V625" i="5"/>
  <c r="E625" i="5"/>
  <c r="X625" i="5" s="1"/>
  <c r="V626" i="5"/>
  <c r="E626" i="5"/>
  <c r="X626" i="5" s="1"/>
  <c r="V627" i="5"/>
  <c r="E627" i="5"/>
  <c r="X627" i="5" s="1"/>
  <c r="V628" i="5"/>
  <c r="E628" i="5"/>
  <c r="X628" i="5" s="1"/>
  <c r="V629" i="5"/>
  <c r="E629" i="5"/>
  <c r="X629" i="5" s="1"/>
  <c r="V630" i="5"/>
  <c r="E630" i="5"/>
  <c r="X630" i="5" s="1"/>
  <c r="V631" i="5"/>
  <c r="E631" i="5"/>
  <c r="X631" i="5" s="1"/>
  <c r="V632" i="5"/>
  <c r="E632" i="5"/>
  <c r="X632" i="5" s="1"/>
  <c r="V633" i="5"/>
  <c r="E633" i="5"/>
  <c r="X633" i="5" s="1"/>
  <c r="V634" i="5"/>
  <c r="E634" i="5"/>
  <c r="X634" i="5" s="1"/>
  <c r="V635" i="5"/>
  <c r="E635" i="5"/>
  <c r="X635" i="5" s="1"/>
  <c r="V636" i="5"/>
  <c r="E636" i="5"/>
  <c r="X636" i="5" s="1"/>
  <c r="V637" i="5"/>
  <c r="E637" i="5"/>
  <c r="X637" i="5" s="1"/>
  <c r="V638" i="5"/>
  <c r="E638" i="5"/>
  <c r="X638" i="5" s="1"/>
  <c r="V639" i="5"/>
  <c r="E639" i="5"/>
  <c r="X639" i="5" s="1"/>
  <c r="V640" i="5"/>
  <c r="E640" i="5"/>
  <c r="X640" i="5" s="1"/>
  <c r="V641" i="5"/>
  <c r="E641" i="5"/>
  <c r="X641" i="5" s="1"/>
  <c r="V642" i="5"/>
  <c r="E642" i="5"/>
  <c r="X642" i="5" s="1"/>
  <c r="V643" i="5"/>
  <c r="E643" i="5"/>
  <c r="X643" i="5" s="1"/>
  <c r="V644" i="5"/>
  <c r="E644" i="5"/>
  <c r="X644" i="5" s="1"/>
  <c r="V645" i="5"/>
  <c r="E645" i="5"/>
  <c r="X645" i="5" s="1"/>
  <c r="V646" i="5"/>
  <c r="E646" i="5"/>
  <c r="X646" i="5" s="1"/>
  <c r="V647" i="5"/>
  <c r="E647" i="5"/>
  <c r="X647" i="5" s="1"/>
  <c r="V648" i="5"/>
  <c r="E648" i="5"/>
  <c r="X648" i="5" s="1"/>
  <c r="V649" i="5"/>
  <c r="E649" i="5"/>
  <c r="X649" i="5" s="1"/>
  <c r="V650" i="5"/>
  <c r="E650" i="5"/>
  <c r="X650" i="5" s="1"/>
  <c r="V651" i="5"/>
  <c r="E651" i="5"/>
  <c r="X651" i="5" s="1"/>
  <c r="V652" i="5"/>
  <c r="E652" i="5"/>
  <c r="X652" i="5" s="1"/>
  <c r="V653" i="5"/>
  <c r="E653" i="5"/>
  <c r="X653" i="5" s="1"/>
  <c r="V654" i="5"/>
  <c r="E654" i="5"/>
  <c r="X654" i="5" s="1"/>
  <c r="V655" i="5"/>
  <c r="E655" i="5"/>
  <c r="X655" i="5" s="1"/>
  <c r="V656" i="5"/>
  <c r="E656" i="5"/>
  <c r="X656" i="5" s="1"/>
  <c r="V657" i="5"/>
  <c r="E657" i="5"/>
  <c r="X657" i="5" s="1"/>
  <c r="V658" i="5"/>
  <c r="E658" i="5"/>
  <c r="X658" i="5" s="1"/>
  <c r="V659" i="5"/>
  <c r="E659" i="5"/>
  <c r="X659" i="5" s="1"/>
  <c r="V660" i="5"/>
  <c r="E660" i="5"/>
  <c r="X660" i="5" s="1"/>
  <c r="V661" i="5"/>
  <c r="E661" i="5"/>
  <c r="X661" i="5" s="1"/>
  <c r="V662" i="5"/>
  <c r="E662" i="5"/>
  <c r="X662" i="5" s="1"/>
  <c r="V663" i="5"/>
  <c r="E663" i="5"/>
  <c r="X663" i="5" s="1"/>
  <c r="V664" i="5"/>
  <c r="E664" i="5"/>
  <c r="X664" i="5" s="1"/>
  <c r="V665" i="5"/>
  <c r="E665" i="5"/>
  <c r="X665" i="5" s="1"/>
  <c r="V666" i="5"/>
  <c r="E666" i="5"/>
  <c r="X666" i="5" s="1"/>
  <c r="V667" i="5"/>
  <c r="E667" i="5"/>
  <c r="X667" i="5" s="1"/>
  <c r="V668" i="5"/>
  <c r="E668" i="5"/>
  <c r="X668" i="5" s="1"/>
  <c r="V669" i="5"/>
  <c r="E669" i="5"/>
  <c r="X669" i="5" s="1"/>
  <c r="V670" i="5"/>
  <c r="E670" i="5"/>
  <c r="X670" i="5" s="1"/>
  <c r="V671" i="5"/>
  <c r="E671" i="5"/>
  <c r="X671" i="5" s="1"/>
  <c r="V672" i="5"/>
  <c r="E672" i="5"/>
  <c r="X672" i="5" s="1"/>
  <c r="V673" i="5"/>
  <c r="E673" i="5"/>
  <c r="X673" i="5" s="1"/>
  <c r="V674" i="5"/>
  <c r="E674" i="5"/>
  <c r="X674" i="5" s="1"/>
  <c r="V675" i="5"/>
  <c r="E675" i="5"/>
  <c r="X675" i="5" s="1"/>
  <c r="V676" i="5"/>
  <c r="E676" i="5"/>
  <c r="X676" i="5" s="1"/>
  <c r="V677" i="5"/>
  <c r="E677" i="5"/>
  <c r="X677" i="5" s="1"/>
  <c r="V678" i="5"/>
  <c r="E678" i="5"/>
  <c r="X678" i="5" s="1"/>
  <c r="V679" i="5"/>
  <c r="E679" i="5"/>
  <c r="X679" i="5" s="1"/>
  <c r="V680" i="5"/>
  <c r="E680" i="5"/>
  <c r="X680" i="5" s="1"/>
  <c r="V681" i="5"/>
  <c r="E681" i="5"/>
  <c r="X681" i="5" s="1"/>
  <c r="V682" i="5"/>
  <c r="E682" i="5"/>
  <c r="X682" i="5" s="1"/>
  <c r="V683" i="5"/>
  <c r="E683" i="5"/>
  <c r="X683" i="5" s="1"/>
  <c r="V684" i="5"/>
  <c r="E684" i="5"/>
  <c r="X684" i="5" s="1"/>
  <c r="V685" i="5"/>
  <c r="E685" i="5"/>
  <c r="X685" i="5" s="1"/>
  <c r="V686" i="5"/>
  <c r="E686" i="5"/>
  <c r="X686" i="5" s="1"/>
  <c r="V687" i="5"/>
  <c r="E687" i="5"/>
  <c r="X687" i="5" s="1"/>
  <c r="V688" i="5"/>
  <c r="E688" i="5"/>
  <c r="X688" i="5" s="1"/>
  <c r="V689" i="5"/>
  <c r="E689" i="5"/>
  <c r="X689" i="5" s="1"/>
  <c r="V690" i="5"/>
  <c r="E690" i="5"/>
  <c r="X690" i="5" s="1"/>
  <c r="V691" i="5"/>
  <c r="E691" i="5"/>
  <c r="X691" i="5" s="1"/>
  <c r="V692" i="5"/>
  <c r="E692" i="5"/>
  <c r="X692" i="5" s="1"/>
  <c r="V693" i="5"/>
  <c r="E693" i="5"/>
  <c r="X693" i="5" s="1"/>
  <c r="V694" i="5"/>
  <c r="E694" i="5"/>
  <c r="X694" i="5" s="1"/>
  <c r="V695" i="5"/>
  <c r="E695" i="5"/>
  <c r="X695" i="5" s="1"/>
  <c r="V696" i="5"/>
  <c r="E696" i="5"/>
  <c r="X696" i="5" s="1"/>
  <c r="V697" i="5"/>
  <c r="E697" i="5"/>
  <c r="X697" i="5" s="1"/>
  <c r="V698" i="5"/>
  <c r="E698" i="5"/>
  <c r="X698" i="5" s="1"/>
  <c r="V699" i="5"/>
  <c r="E699" i="5"/>
  <c r="X699" i="5" s="1"/>
  <c r="V700" i="5"/>
  <c r="E700" i="5"/>
  <c r="X700" i="5" s="1"/>
  <c r="V701" i="5"/>
  <c r="E701" i="5"/>
  <c r="X701" i="5" s="1"/>
  <c r="V702" i="5"/>
  <c r="E702" i="5"/>
  <c r="X702" i="5" s="1"/>
  <c r="V703" i="5"/>
  <c r="E703" i="5"/>
  <c r="X703" i="5" s="1"/>
  <c r="V704" i="5"/>
  <c r="E704" i="5"/>
  <c r="X704" i="5" s="1"/>
  <c r="V705" i="5"/>
  <c r="E705" i="5"/>
  <c r="X705" i="5" s="1"/>
  <c r="V706" i="5"/>
  <c r="E706" i="5"/>
  <c r="X706" i="5" s="1"/>
  <c r="V707" i="5"/>
  <c r="E707" i="5"/>
  <c r="X707" i="5" s="1"/>
  <c r="V708" i="5"/>
  <c r="E708" i="5"/>
  <c r="X708" i="5" s="1"/>
  <c r="V709" i="5"/>
  <c r="E709" i="5"/>
  <c r="X709" i="5" s="1"/>
  <c r="V710" i="5"/>
  <c r="E710" i="5"/>
  <c r="X710" i="5" s="1"/>
  <c r="V711" i="5"/>
  <c r="E711" i="5"/>
  <c r="X711" i="5" s="1"/>
  <c r="V712" i="5"/>
  <c r="E712" i="5"/>
  <c r="X712" i="5" s="1"/>
  <c r="V713" i="5"/>
  <c r="E713" i="5"/>
  <c r="X713" i="5" s="1"/>
  <c r="V714" i="5"/>
  <c r="E714" i="5"/>
  <c r="X714" i="5" s="1"/>
  <c r="V715" i="5"/>
  <c r="E715" i="5"/>
  <c r="X715" i="5" s="1"/>
  <c r="V716" i="5"/>
  <c r="E716" i="5"/>
  <c r="X716" i="5" s="1"/>
  <c r="V717" i="5"/>
  <c r="E717" i="5"/>
  <c r="X717" i="5" s="1"/>
  <c r="V718" i="5"/>
  <c r="E718" i="5"/>
  <c r="X718" i="5" s="1"/>
  <c r="V719" i="5"/>
  <c r="E719" i="5"/>
  <c r="X719" i="5" s="1"/>
  <c r="V720" i="5"/>
  <c r="E720" i="5"/>
  <c r="X720" i="5" s="1"/>
  <c r="V721" i="5"/>
  <c r="E721" i="5"/>
  <c r="X721" i="5" s="1"/>
  <c r="V722" i="5"/>
  <c r="E722" i="5"/>
  <c r="X722" i="5" s="1"/>
  <c r="V723" i="5"/>
  <c r="E723" i="5"/>
  <c r="X723" i="5" s="1"/>
  <c r="V724" i="5"/>
  <c r="E724" i="5"/>
  <c r="X724" i="5" s="1"/>
  <c r="V725" i="5"/>
  <c r="E725" i="5"/>
  <c r="X725" i="5" s="1"/>
  <c r="V726" i="5"/>
  <c r="E726" i="5"/>
  <c r="X726" i="5" s="1"/>
  <c r="V727" i="5"/>
  <c r="E727" i="5"/>
  <c r="X727" i="5" s="1"/>
  <c r="V728" i="5"/>
  <c r="E728" i="5"/>
  <c r="X728" i="5" s="1"/>
  <c r="V729" i="5"/>
  <c r="E729" i="5"/>
  <c r="X729" i="5" s="1"/>
  <c r="V730" i="5"/>
  <c r="E730" i="5"/>
  <c r="X730" i="5" s="1"/>
  <c r="V731" i="5"/>
  <c r="E731" i="5"/>
  <c r="X731" i="5" s="1"/>
  <c r="V732" i="5"/>
  <c r="E732" i="5"/>
  <c r="X732" i="5" s="1"/>
  <c r="V733" i="5"/>
  <c r="E733" i="5"/>
  <c r="X733" i="5" s="1"/>
  <c r="V734" i="5"/>
  <c r="E734" i="5"/>
  <c r="X734" i="5" s="1"/>
  <c r="V735" i="5"/>
  <c r="E735" i="5"/>
  <c r="X735" i="5" s="1"/>
  <c r="V736" i="5"/>
  <c r="E736" i="5"/>
  <c r="X736" i="5" s="1"/>
  <c r="V737" i="5"/>
  <c r="E737" i="5"/>
  <c r="X737" i="5" s="1"/>
  <c r="V738" i="5"/>
  <c r="E738" i="5"/>
  <c r="X738" i="5" s="1"/>
  <c r="V739" i="5"/>
  <c r="E739" i="5"/>
  <c r="X739" i="5" s="1"/>
  <c r="V740" i="5"/>
  <c r="E740" i="5"/>
  <c r="X740" i="5" s="1"/>
  <c r="V741" i="5"/>
  <c r="E741" i="5"/>
  <c r="X741" i="5" s="1"/>
  <c r="V742" i="5"/>
  <c r="E742" i="5"/>
  <c r="X742" i="5" s="1"/>
  <c r="V743" i="5"/>
  <c r="E743" i="5"/>
  <c r="X743" i="5" s="1"/>
  <c r="V744" i="5"/>
  <c r="E744" i="5"/>
  <c r="X744" i="5" s="1"/>
  <c r="V745" i="5"/>
  <c r="E745" i="5"/>
  <c r="X745" i="5" s="1"/>
  <c r="V746" i="5"/>
  <c r="E746" i="5"/>
  <c r="X746" i="5" s="1"/>
  <c r="V747" i="5"/>
  <c r="E747" i="5"/>
  <c r="X747" i="5" s="1"/>
  <c r="V748" i="5"/>
  <c r="E748" i="5"/>
  <c r="X748" i="5" s="1"/>
  <c r="V749" i="5"/>
  <c r="E749" i="5"/>
  <c r="X749" i="5" s="1"/>
  <c r="V750" i="5"/>
  <c r="E750" i="5"/>
  <c r="X750" i="5" s="1"/>
  <c r="V751" i="5"/>
  <c r="E751" i="5"/>
  <c r="X751" i="5" s="1"/>
  <c r="V752" i="5"/>
  <c r="E752" i="5"/>
  <c r="X752" i="5" s="1"/>
  <c r="V753" i="5"/>
  <c r="E753" i="5"/>
  <c r="X753" i="5" s="1"/>
  <c r="V754" i="5"/>
  <c r="E754" i="5"/>
  <c r="X754" i="5" s="1"/>
  <c r="V755" i="5"/>
  <c r="E755" i="5"/>
  <c r="X755" i="5" s="1"/>
  <c r="V756" i="5"/>
  <c r="E756" i="5"/>
  <c r="X756" i="5" s="1"/>
  <c r="V757" i="5"/>
  <c r="E757" i="5"/>
  <c r="X757" i="5" s="1"/>
  <c r="V758" i="5"/>
  <c r="E758" i="5"/>
  <c r="X758" i="5" s="1"/>
  <c r="V759" i="5"/>
  <c r="E759" i="5"/>
  <c r="X759" i="5" s="1"/>
  <c r="V760" i="5"/>
  <c r="E760" i="5"/>
  <c r="X760" i="5" s="1"/>
  <c r="V761" i="5"/>
  <c r="E761" i="5"/>
  <c r="X761" i="5" s="1"/>
  <c r="V762" i="5"/>
  <c r="E762" i="5"/>
  <c r="X762" i="5" s="1"/>
  <c r="V763" i="5"/>
  <c r="E763" i="5"/>
  <c r="X763" i="5" s="1"/>
  <c r="V764" i="5"/>
  <c r="E764" i="5"/>
  <c r="X764" i="5" s="1"/>
  <c r="V765" i="5"/>
  <c r="E765" i="5"/>
  <c r="X765" i="5" s="1"/>
  <c r="V766" i="5"/>
  <c r="E766" i="5"/>
  <c r="X766" i="5" s="1"/>
  <c r="V767" i="5"/>
  <c r="E767" i="5"/>
  <c r="X767" i="5" s="1"/>
  <c r="V768" i="5"/>
  <c r="E768" i="5"/>
  <c r="X768" i="5" s="1"/>
  <c r="V769" i="5"/>
  <c r="E769" i="5"/>
  <c r="X769" i="5" s="1"/>
  <c r="V770" i="5"/>
  <c r="E770" i="5"/>
  <c r="X770" i="5" s="1"/>
  <c r="V771" i="5"/>
  <c r="E771" i="5"/>
  <c r="X771" i="5" s="1"/>
  <c r="V772" i="5"/>
  <c r="E772" i="5"/>
  <c r="X772" i="5" s="1"/>
  <c r="V773" i="5"/>
  <c r="E773" i="5"/>
  <c r="X773" i="5" s="1"/>
  <c r="V774" i="5"/>
  <c r="E774" i="5"/>
  <c r="X774" i="5" s="1"/>
  <c r="V775" i="5"/>
  <c r="E775" i="5"/>
  <c r="X775" i="5" s="1"/>
  <c r="V776" i="5"/>
  <c r="E776" i="5"/>
  <c r="X776" i="5" s="1"/>
  <c r="V777" i="5"/>
  <c r="E777" i="5"/>
  <c r="X777" i="5" s="1"/>
  <c r="V778" i="5"/>
  <c r="E778" i="5"/>
  <c r="X778" i="5" s="1"/>
  <c r="V779" i="5"/>
  <c r="E779" i="5"/>
  <c r="X779" i="5" s="1"/>
  <c r="V780" i="5"/>
  <c r="E780" i="5"/>
  <c r="X780" i="5" s="1"/>
  <c r="V781" i="5"/>
  <c r="E781" i="5"/>
  <c r="X781" i="5" s="1"/>
  <c r="V782" i="5"/>
  <c r="E782" i="5"/>
  <c r="X782" i="5" s="1"/>
  <c r="V783" i="5"/>
  <c r="E783" i="5"/>
  <c r="X783" i="5" s="1"/>
  <c r="V784" i="5"/>
  <c r="E784" i="5"/>
  <c r="X784" i="5" s="1"/>
  <c r="V785" i="5"/>
  <c r="E785" i="5"/>
  <c r="X785" i="5" s="1"/>
  <c r="V786" i="5"/>
  <c r="E786" i="5"/>
  <c r="X786" i="5" s="1"/>
  <c r="V787" i="5"/>
  <c r="E787" i="5"/>
  <c r="X787" i="5" s="1"/>
  <c r="V788" i="5"/>
  <c r="E788" i="5"/>
  <c r="X788" i="5" s="1"/>
  <c r="V789" i="5"/>
  <c r="E789" i="5"/>
  <c r="X789" i="5" s="1"/>
  <c r="V790" i="5"/>
  <c r="E790" i="5"/>
  <c r="X790" i="5" s="1"/>
  <c r="V791" i="5"/>
  <c r="E791" i="5"/>
  <c r="X791" i="5" s="1"/>
  <c r="V792" i="5"/>
  <c r="E792" i="5"/>
  <c r="X792" i="5" s="1"/>
  <c r="V793" i="5"/>
  <c r="E793" i="5"/>
  <c r="X793" i="5" s="1"/>
  <c r="V794" i="5"/>
  <c r="E794" i="5"/>
  <c r="X794" i="5" s="1"/>
  <c r="V795" i="5"/>
  <c r="E795" i="5"/>
  <c r="X795" i="5" s="1"/>
  <c r="V796" i="5"/>
  <c r="E796" i="5"/>
  <c r="X796" i="5" s="1"/>
  <c r="V797" i="5"/>
  <c r="E797" i="5"/>
  <c r="X797" i="5" s="1"/>
  <c r="V798" i="5"/>
  <c r="E798" i="5"/>
  <c r="X798" i="5" s="1"/>
  <c r="V799" i="5"/>
  <c r="E799" i="5"/>
  <c r="X799" i="5" s="1"/>
  <c r="V800" i="5"/>
  <c r="E800" i="5"/>
  <c r="X800" i="5" s="1"/>
  <c r="V801" i="5"/>
  <c r="E801" i="5"/>
  <c r="X801" i="5" s="1"/>
  <c r="V802" i="5"/>
  <c r="E802" i="5"/>
  <c r="X802" i="5" s="1"/>
  <c r="V803" i="5"/>
  <c r="E803" i="5"/>
  <c r="X803" i="5" s="1"/>
  <c r="V804" i="5"/>
  <c r="E804" i="5"/>
  <c r="X804" i="5" s="1"/>
  <c r="V805" i="5"/>
  <c r="E805" i="5"/>
  <c r="X805" i="5" s="1"/>
  <c r="V806" i="5"/>
  <c r="E806" i="5"/>
  <c r="X806" i="5" s="1"/>
  <c r="V807" i="5"/>
  <c r="E807" i="5"/>
  <c r="X807" i="5" s="1"/>
  <c r="V808" i="5"/>
  <c r="E808" i="5"/>
  <c r="X808" i="5" s="1"/>
  <c r="V809" i="5"/>
  <c r="E809" i="5"/>
  <c r="X809" i="5" s="1"/>
  <c r="V810" i="5"/>
  <c r="E810" i="5"/>
  <c r="X810" i="5" s="1"/>
  <c r="V811" i="5"/>
  <c r="E811" i="5"/>
  <c r="X811" i="5" s="1"/>
  <c r="V812" i="5"/>
  <c r="E812" i="5"/>
  <c r="X812" i="5" s="1"/>
  <c r="V813" i="5"/>
  <c r="E813" i="5"/>
  <c r="X813" i="5" s="1"/>
  <c r="V814" i="5"/>
  <c r="E814" i="5"/>
  <c r="X814" i="5" s="1"/>
  <c r="V815" i="5"/>
  <c r="E815" i="5"/>
  <c r="X815" i="5" s="1"/>
  <c r="V816" i="5"/>
  <c r="E816" i="5"/>
  <c r="X816" i="5" s="1"/>
  <c r="V817" i="5"/>
  <c r="E817" i="5"/>
  <c r="X817" i="5" s="1"/>
  <c r="V818" i="5"/>
  <c r="E818" i="5"/>
  <c r="X818" i="5" s="1"/>
  <c r="V819" i="5"/>
  <c r="E819" i="5"/>
  <c r="X819" i="5" s="1"/>
  <c r="V820" i="5"/>
  <c r="E820" i="5"/>
  <c r="X820" i="5" s="1"/>
  <c r="V821" i="5"/>
  <c r="E821" i="5"/>
  <c r="X821" i="5" s="1"/>
  <c r="V822" i="5"/>
  <c r="E822" i="5"/>
  <c r="X822" i="5" s="1"/>
  <c r="V823" i="5"/>
  <c r="E823" i="5"/>
  <c r="X823" i="5" s="1"/>
  <c r="V824" i="5"/>
  <c r="E824" i="5"/>
  <c r="X824" i="5" s="1"/>
  <c r="V825" i="5"/>
  <c r="E825" i="5"/>
  <c r="X825" i="5" s="1"/>
  <c r="V826" i="5"/>
  <c r="E826" i="5"/>
  <c r="X826" i="5" s="1"/>
  <c r="V827" i="5"/>
  <c r="E827" i="5"/>
  <c r="X827" i="5" s="1"/>
  <c r="V828" i="5"/>
  <c r="E828" i="5"/>
  <c r="X828" i="5" s="1"/>
  <c r="V829" i="5"/>
  <c r="E829" i="5"/>
  <c r="X829" i="5" s="1"/>
  <c r="V830" i="5"/>
  <c r="E830" i="5"/>
  <c r="X830" i="5" s="1"/>
  <c r="V831" i="5"/>
  <c r="E831" i="5"/>
  <c r="X831" i="5" s="1"/>
  <c r="V832" i="5"/>
  <c r="E832" i="5"/>
  <c r="X832" i="5" s="1"/>
  <c r="V833" i="5"/>
  <c r="E833" i="5"/>
  <c r="X833" i="5" s="1"/>
  <c r="V834" i="5"/>
  <c r="E834" i="5"/>
  <c r="X834" i="5" s="1"/>
  <c r="V835" i="5"/>
  <c r="E835" i="5"/>
  <c r="X835" i="5" s="1"/>
  <c r="V836" i="5"/>
  <c r="E836" i="5"/>
  <c r="X836" i="5" s="1"/>
  <c r="V837" i="5"/>
  <c r="E837" i="5"/>
  <c r="X837" i="5" s="1"/>
  <c r="V838" i="5"/>
  <c r="E838" i="5"/>
  <c r="X838" i="5" s="1"/>
  <c r="V839" i="5"/>
  <c r="E839" i="5"/>
  <c r="X839" i="5" s="1"/>
  <c r="V840" i="5"/>
  <c r="E840" i="5"/>
  <c r="X840" i="5" s="1"/>
  <c r="V841" i="5"/>
  <c r="E841" i="5"/>
  <c r="X841" i="5" s="1"/>
  <c r="V842" i="5"/>
  <c r="E842" i="5"/>
  <c r="X842" i="5" s="1"/>
  <c r="V843" i="5"/>
  <c r="E843" i="5"/>
  <c r="X843" i="5" s="1"/>
  <c r="V844" i="5"/>
  <c r="E844" i="5"/>
  <c r="X844" i="5" s="1"/>
  <c r="V845" i="5"/>
  <c r="E845" i="5"/>
  <c r="X845" i="5" s="1"/>
  <c r="V846" i="5"/>
  <c r="E846" i="5"/>
  <c r="X846" i="5" s="1"/>
  <c r="V847" i="5"/>
  <c r="E847" i="5"/>
  <c r="X847" i="5" s="1"/>
  <c r="V848" i="5"/>
  <c r="E848" i="5"/>
  <c r="X848" i="5" s="1"/>
  <c r="V849" i="5"/>
  <c r="E849" i="5"/>
  <c r="X849" i="5" s="1"/>
  <c r="V850" i="5"/>
  <c r="E850" i="5"/>
  <c r="X850" i="5" s="1"/>
  <c r="V851" i="5"/>
  <c r="E851" i="5"/>
  <c r="X851" i="5" s="1"/>
  <c r="V852" i="5"/>
  <c r="E852" i="5"/>
  <c r="X852" i="5" s="1"/>
  <c r="V853" i="5"/>
  <c r="E853" i="5"/>
  <c r="X853" i="5" s="1"/>
  <c r="V854" i="5"/>
  <c r="E854" i="5"/>
  <c r="X854" i="5" s="1"/>
  <c r="V855" i="5"/>
  <c r="E855" i="5"/>
  <c r="X855" i="5" s="1"/>
  <c r="V856" i="5"/>
  <c r="E856" i="5"/>
  <c r="X856" i="5" s="1"/>
  <c r="V857" i="5"/>
  <c r="E857" i="5"/>
  <c r="X857" i="5" s="1"/>
  <c r="V858" i="5"/>
  <c r="E858" i="5"/>
  <c r="X858" i="5" s="1"/>
  <c r="V859" i="5"/>
  <c r="E859" i="5"/>
  <c r="X859" i="5" s="1"/>
  <c r="V860" i="5"/>
  <c r="E860" i="5"/>
  <c r="X860" i="5" s="1"/>
  <c r="V861" i="5"/>
  <c r="E861" i="5"/>
  <c r="X861" i="5" s="1"/>
  <c r="V862" i="5"/>
  <c r="E862" i="5"/>
  <c r="X862" i="5" s="1"/>
  <c r="V863" i="5"/>
  <c r="E863" i="5"/>
  <c r="X863" i="5" s="1"/>
  <c r="V864" i="5"/>
  <c r="E864" i="5"/>
  <c r="X864" i="5" s="1"/>
  <c r="V865" i="5"/>
  <c r="E865" i="5"/>
  <c r="X865" i="5" s="1"/>
  <c r="V866" i="5"/>
  <c r="E866" i="5"/>
  <c r="X866" i="5" s="1"/>
  <c r="V867" i="5"/>
  <c r="E867" i="5"/>
  <c r="X867" i="5" s="1"/>
  <c r="V868" i="5"/>
  <c r="E868" i="5"/>
  <c r="X868" i="5" s="1"/>
  <c r="V869" i="5"/>
  <c r="E869" i="5"/>
  <c r="X869" i="5" s="1"/>
  <c r="V870" i="5"/>
  <c r="E870" i="5"/>
  <c r="X870" i="5" s="1"/>
  <c r="V871" i="5"/>
  <c r="E871" i="5"/>
  <c r="X871" i="5" s="1"/>
  <c r="V872" i="5"/>
  <c r="E872" i="5"/>
  <c r="X872" i="5" s="1"/>
  <c r="V873" i="5"/>
  <c r="E873" i="5"/>
  <c r="X873" i="5" s="1"/>
  <c r="V874" i="5"/>
  <c r="E874" i="5"/>
  <c r="X874" i="5" s="1"/>
  <c r="V875" i="5"/>
  <c r="E875" i="5"/>
  <c r="X875" i="5" s="1"/>
  <c r="V876" i="5"/>
  <c r="E876" i="5"/>
  <c r="X876" i="5" s="1"/>
  <c r="V877" i="5"/>
  <c r="E877" i="5"/>
  <c r="X877" i="5" s="1"/>
  <c r="V878" i="5"/>
  <c r="E878" i="5"/>
  <c r="X878" i="5" s="1"/>
  <c r="V879" i="5"/>
  <c r="E879" i="5"/>
  <c r="X879" i="5" s="1"/>
  <c r="V880" i="5"/>
  <c r="E880" i="5"/>
  <c r="X880" i="5" s="1"/>
  <c r="V881" i="5"/>
  <c r="E881" i="5"/>
  <c r="X881" i="5" s="1"/>
  <c r="V882" i="5"/>
  <c r="E882" i="5"/>
  <c r="X882" i="5" s="1"/>
  <c r="V883" i="5"/>
  <c r="E883" i="5"/>
  <c r="X883" i="5" s="1"/>
  <c r="V884" i="5"/>
  <c r="E884" i="5"/>
  <c r="X884" i="5" s="1"/>
  <c r="V885" i="5"/>
  <c r="E885" i="5"/>
  <c r="X885" i="5" s="1"/>
  <c r="V886" i="5"/>
  <c r="E886" i="5"/>
  <c r="X886" i="5" s="1"/>
  <c r="V887" i="5"/>
  <c r="E887" i="5"/>
  <c r="X887" i="5" s="1"/>
  <c r="V888" i="5"/>
  <c r="E888" i="5"/>
  <c r="X888" i="5" s="1"/>
  <c r="V889" i="5"/>
  <c r="E889" i="5"/>
  <c r="X889" i="5" s="1"/>
  <c r="V890" i="5"/>
  <c r="E890" i="5"/>
  <c r="X890" i="5" s="1"/>
  <c r="V891" i="5"/>
  <c r="E891" i="5"/>
  <c r="X891" i="5" s="1"/>
  <c r="V892" i="5"/>
  <c r="E892" i="5"/>
  <c r="X892" i="5" s="1"/>
  <c r="V893" i="5"/>
  <c r="E893" i="5"/>
  <c r="X893" i="5" s="1"/>
  <c r="V894" i="5"/>
  <c r="E894" i="5"/>
  <c r="X894" i="5" s="1"/>
  <c r="V895" i="5"/>
  <c r="E895" i="5"/>
  <c r="X895" i="5" s="1"/>
  <c r="V896" i="5"/>
  <c r="E896" i="5"/>
  <c r="X896" i="5" s="1"/>
  <c r="V897" i="5"/>
  <c r="E897" i="5"/>
  <c r="X897" i="5" s="1"/>
  <c r="V898" i="5"/>
  <c r="E898" i="5"/>
  <c r="X898" i="5" s="1"/>
  <c r="V899" i="5"/>
  <c r="E899" i="5"/>
  <c r="X899" i="5" s="1"/>
  <c r="V900" i="5"/>
  <c r="E900" i="5"/>
  <c r="X900" i="5" s="1"/>
  <c r="V901" i="5"/>
  <c r="E901" i="5"/>
  <c r="X901" i="5" s="1"/>
  <c r="V902" i="5"/>
  <c r="E902" i="5"/>
  <c r="X902" i="5" s="1"/>
  <c r="V903" i="5"/>
  <c r="E903" i="5"/>
  <c r="X903" i="5" s="1"/>
  <c r="V904" i="5"/>
  <c r="E904" i="5"/>
  <c r="X904" i="5" s="1"/>
  <c r="V905" i="5"/>
  <c r="E905" i="5"/>
  <c r="X905" i="5" s="1"/>
  <c r="V906" i="5"/>
  <c r="E906" i="5"/>
  <c r="X906" i="5" s="1"/>
  <c r="V907" i="5"/>
  <c r="E907" i="5"/>
  <c r="X907" i="5" s="1"/>
  <c r="V908" i="5"/>
  <c r="E908" i="5"/>
  <c r="X908" i="5" s="1"/>
  <c r="V909" i="5"/>
  <c r="E909" i="5"/>
  <c r="X909" i="5" s="1"/>
  <c r="V910" i="5"/>
  <c r="E910" i="5"/>
  <c r="X910" i="5" s="1"/>
  <c r="V911" i="5"/>
  <c r="E911" i="5"/>
  <c r="X911" i="5" s="1"/>
  <c r="V912" i="5"/>
  <c r="E912" i="5"/>
  <c r="X912" i="5" s="1"/>
  <c r="V913" i="5"/>
  <c r="E913" i="5"/>
  <c r="X913" i="5" s="1"/>
  <c r="V914" i="5"/>
  <c r="E914" i="5"/>
  <c r="X914" i="5" s="1"/>
  <c r="V915" i="5"/>
  <c r="E915" i="5"/>
  <c r="X915" i="5" s="1"/>
  <c r="V916" i="5"/>
  <c r="E916" i="5"/>
  <c r="X916" i="5" s="1"/>
  <c r="V917" i="5"/>
  <c r="E917" i="5"/>
  <c r="X917" i="5" s="1"/>
  <c r="V918" i="5"/>
  <c r="E918" i="5"/>
  <c r="X918" i="5" s="1"/>
  <c r="V919" i="5"/>
  <c r="E919" i="5"/>
  <c r="X919" i="5" s="1"/>
  <c r="V920" i="5"/>
  <c r="E920" i="5"/>
  <c r="X920" i="5" s="1"/>
  <c r="V921" i="5"/>
  <c r="E921" i="5"/>
  <c r="X921" i="5" s="1"/>
  <c r="V922" i="5"/>
  <c r="E922" i="5"/>
  <c r="X922" i="5" s="1"/>
  <c r="V923" i="5"/>
  <c r="E923" i="5"/>
  <c r="X923" i="5" s="1"/>
  <c r="V924" i="5"/>
  <c r="E924" i="5"/>
  <c r="X924" i="5" s="1"/>
  <c r="V925" i="5"/>
  <c r="E925" i="5"/>
  <c r="X925" i="5" s="1"/>
  <c r="V926" i="5"/>
  <c r="E926" i="5"/>
  <c r="X926" i="5" s="1"/>
  <c r="V927" i="5"/>
  <c r="E927" i="5"/>
  <c r="X927" i="5" s="1"/>
  <c r="V928" i="5"/>
  <c r="E928" i="5"/>
  <c r="X928" i="5" s="1"/>
  <c r="V929" i="5"/>
  <c r="E929" i="5"/>
  <c r="X929" i="5" s="1"/>
  <c r="V930" i="5"/>
  <c r="E930" i="5"/>
  <c r="X930" i="5" s="1"/>
  <c r="V931" i="5"/>
  <c r="E931" i="5"/>
  <c r="X931" i="5" s="1"/>
  <c r="V932" i="5"/>
  <c r="E932" i="5"/>
  <c r="X932" i="5" s="1"/>
  <c r="V933" i="5"/>
  <c r="E933" i="5"/>
  <c r="X933" i="5" s="1"/>
  <c r="V934" i="5"/>
  <c r="E934" i="5"/>
  <c r="X934" i="5" s="1"/>
  <c r="V935" i="5"/>
  <c r="E935" i="5"/>
  <c r="X935" i="5" s="1"/>
  <c r="V936" i="5"/>
  <c r="E936" i="5"/>
  <c r="X936" i="5" s="1"/>
  <c r="V937" i="5"/>
  <c r="E937" i="5"/>
  <c r="X937" i="5" s="1"/>
  <c r="V938" i="5"/>
  <c r="E938" i="5"/>
  <c r="X938" i="5" s="1"/>
  <c r="V939" i="5"/>
  <c r="E939" i="5"/>
  <c r="X939" i="5" s="1"/>
  <c r="V940" i="5"/>
  <c r="E940" i="5"/>
  <c r="X940" i="5" s="1"/>
  <c r="V941" i="5"/>
  <c r="E941" i="5"/>
  <c r="X941" i="5" s="1"/>
  <c r="V942" i="5"/>
  <c r="E942" i="5"/>
  <c r="X942" i="5" s="1"/>
  <c r="V943" i="5"/>
  <c r="E943" i="5"/>
  <c r="X943" i="5" s="1"/>
  <c r="V944" i="5"/>
  <c r="E944" i="5"/>
  <c r="X944" i="5" s="1"/>
  <c r="V945" i="5"/>
  <c r="E945" i="5"/>
  <c r="X945" i="5" s="1"/>
  <c r="V946" i="5"/>
  <c r="E946" i="5"/>
  <c r="X946" i="5" s="1"/>
  <c r="V947" i="5"/>
  <c r="E947" i="5"/>
  <c r="X947" i="5" s="1"/>
  <c r="V948" i="5"/>
  <c r="E948" i="5"/>
  <c r="X948" i="5" s="1"/>
  <c r="V949" i="5"/>
  <c r="E949" i="5"/>
  <c r="X949" i="5" s="1"/>
  <c r="V950" i="5"/>
  <c r="E950" i="5"/>
  <c r="X950" i="5" s="1"/>
  <c r="V951" i="5"/>
  <c r="E951" i="5"/>
  <c r="X951" i="5" s="1"/>
  <c r="V952" i="5"/>
  <c r="E952" i="5"/>
  <c r="X952" i="5" s="1"/>
  <c r="V953" i="5"/>
  <c r="E953" i="5"/>
  <c r="X953" i="5" s="1"/>
  <c r="V954" i="5"/>
  <c r="E954" i="5"/>
  <c r="X954" i="5" s="1"/>
  <c r="V955" i="5"/>
  <c r="E955" i="5"/>
  <c r="X955" i="5" s="1"/>
  <c r="V956" i="5"/>
  <c r="E956" i="5"/>
  <c r="X956" i="5" s="1"/>
  <c r="V957" i="5"/>
  <c r="E957" i="5"/>
  <c r="X957" i="5" s="1"/>
  <c r="V958" i="5"/>
  <c r="E958" i="5"/>
  <c r="X958" i="5" s="1"/>
  <c r="V959" i="5"/>
  <c r="E959" i="5"/>
  <c r="X959" i="5" s="1"/>
  <c r="V960" i="5"/>
  <c r="E960" i="5"/>
  <c r="X960" i="5" s="1"/>
  <c r="V961" i="5"/>
  <c r="E961" i="5"/>
  <c r="X961" i="5" s="1"/>
  <c r="V962" i="5"/>
  <c r="E962" i="5"/>
  <c r="X962" i="5" s="1"/>
  <c r="V963" i="5"/>
  <c r="E963" i="5"/>
  <c r="X963" i="5" s="1"/>
  <c r="V964" i="5"/>
  <c r="E964" i="5"/>
  <c r="X964" i="5" s="1"/>
  <c r="V965" i="5"/>
  <c r="E965" i="5"/>
  <c r="X965" i="5" s="1"/>
  <c r="V966" i="5"/>
  <c r="E966" i="5"/>
  <c r="X966" i="5" s="1"/>
  <c r="V967" i="5"/>
  <c r="E967" i="5"/>
  <c r="X967" i="5" s="1"/>
  <c r="V968" i="5"/>
  <c r="E968" i="5"/>
  <c r="X968" i="5" s="1"/>
  <c r="V969" i="5"/>
  <c r="E969" i="5"/>
  <c r="X969" i="5" s="1"/>
  <c r="V970" i="5"/>
  <c r="E970" i="5"/>
  <c r="X970" i="5" s="1"/>
  <c r="V971" i="5"/>
  <c r="E971" i="5"/>
  <c r="X971" i="5" s="1"/>
  <c r="V972" i="5"/>
  <c r="E972" i="5"/>
  <c r="X972" i="5" s="1"/>
  <c r="V973" i="5"/>
  <c r="E973" i="5"/>
  <c r="X973" i="5" s="1"/>
  <c r="V974" i="5"/>
  <c r="E974" i="5"/>
  <c r="X974" i="5" s="1"/>
  <c r="V975" i="5"/>
  <c r="E975" i="5"/>
  <c r="X975" i="5" s="1"/>
  <c r="V976" i="5"/>
  <c r="E976" i="5"/>
  <c r="X976" i="5" s="1"/>
  <c r="V977" i="5"/>
  <c r="E977" i="5"/>
  <c r="X977" i="5" s="1"/>
  <c r="V978" i="5"/>
  <c r="E978" i="5"/>
  <c r="X978" i="5" s="1"/>
  <c r="V979" i="5"/>
  <c r="E979" i="5"/>
  <c r="X979" i="5" s="1"/>
  <c r="V980" i="5"/>
  <c r="E980" i="5"/>
  <c r="X980" i="5" s="1"/>
  <c r="V981" i="5"/>
  <c r="E981" i="5"/>
  <c r="X981" i="5" s="1"/>
  <c r="V982" i="5"/>
  <c r="E982" i="5"/>
  <c r="X982" i="5" s="1"/>
  <c r="V983" i="5"/>
  <c r="E983" i="5"/>
  <c r="X983" i="5" s="1"/>
  <c r="V984" i="5"/>
  <c r="E984" i="5"/>
  <c r="X984" i="5" s="1"/>
  <c r="V985" i="5"/>
  <c r="E985" i="5"/>
  <c r="X985" i="5" s="1"/>
  <c r="V986" i="5"/>
  <c r="E986" i="5"/>
  <c r="X986" i="5" s="1"/>
  <c r="V987" i="5"/>
  <c r="E987" i="5"/>
  <c r="X987" i="5" s="1"/>
  <c r="V988" i="5"/>
  <c r="E988" i="5"/>
  <c r="X988" i="5" s="1"/>
  <c r="V989" i="5"/>
  <c r="E989" i="5"/>
  <c r="X989" i="5" s="1"/>
  <c r="V990" i="5"/>
  <c r="E990" i="5"/>
  <c r="X990" i="5" s="1"/>
  <c r="V991" i="5"/>
  <c r="E991" i="5"/>
  <c r="X991" i="5" s="1"/>
  <c r="V992" i="5"/>
  <c r="E992" i="5"/>
  <c r="X992" i="5" s="1"/>
  <c r="V993" i="5"/>
  <c r="E993" i="5"/>
  <c r="X993" i="5" s="1"/>
  <c r="V994" i="5"/>
  <c r="E994" i="5"/>
  <c r="X994" i="5" s="1"/>
  <c r="V995" i="5"/>
  <c r="E995" i="5"/>
  <c r="X995" i="5" s="1"/>
  <c r="V996" i="5"/>
  <c r="E996" i="5"/>
  <c r="X996" i="5" s="1"/>
  <c r="V997" i="5"/>
  <c r="E997" i="5"/>
  <c r="X997" i="5" s="1"/>
  <c r="V998" i="5"/>
  <c r="E998" i="5"/>
  <c r="X998" i="5" s="1"/>
  <c r="V999" i="5"/>
  <c r="E999" i="5"/>
  <c r="X999" i="5" s="1"/>
  <c r="V1000" i="5"/>
  <c r="E1000" i="5"/>
  <c r="X1000" i="5" s="1"/>
  <c r="V1001" i="5"/>
  <c r="E1001" i="5"/>
  <c r="X1001" i="5" s="1"/>
  <c r="V1002" i="5"/>
  <c r="E1002" i="5"/>
  <c r="X1002" i="5" s="1"/>
  <c r="V1003" i="5"/>
  <c r="E1003" i="5"/>
  <c r="X1003" i="5" s="1"/>
  <c r="V1004" i="5"/>
  <c r="E1004" i="5"/>
  <c r="X1004" i="5" s="1"/>
  <c r="V1005" i="5"/>
  <c r="E1005" i="5"/>
  <c r="X1005" i="5" s="1"/>
  <c r="V1006" i="5"/>
  <c r="E1006" i="5"/>
  <c r="X1006" i="5" s="1"/>
  <c r="V1007" i="5"/>
  <c r="E1007" i="5"/>
  <c r="X1007" i="5" s="1"/>
  <c r="V1008" i="5"/>
  <c r="E1008" i="5"/>
  <c r="X1008" i="5" s="1"/>
  <c r="V1009" i="5"/>
  <c r="E1009" i="5"/>
  <c r="X1009" i="5" s="1"/>
  <c r="V1010" i="5"/>
  <c r="E1010" i="5"/>
  <c r="X1010" i="5" s="1"/>
  <c r="V1011" i="5"/>
  <c r="E1011" i="5"/>
  <c r="X1011" i="5" s="1"/>
  <c r="V1012" i="5"/>
  <c r="E1012" i="5"/>
  <c r="X1012" i="5" s="1"/>
  <c r="V1013" i="5"/>
  <c r="E1013" i="5"/>
  <c r="X1013" i="5" s="1"/>
  <c r="V1014" i="5"/>
  <c r="E1014" i="5"/>
  <c r="X1014" i="5" s="1"/>
  <c r="V1015" i="5"/>
  <c r="E1015" i="5"/>
  <c r="X1015" i="5" s="1"/>
  <c r="V1016" i="5"/>
  <c r="E1016" i="5"/>
  <c r="X1016" i="5" s="1"/>
  <c r="V1017" i="5"/>
  <c r="E1017" i="5"/>
  <c r="X1017" i="5" s="1"/>
  <c r="V1018" i="5"/>
  <c r="E1018" i="5"/>
  <c r="X1018" i="5" s="1"/>
  <c r="V1019" i="5"/>
  <c r="E1019" i="5"/>
  <c r="X1019" i="5" s="1"/>
  <c r="V1020" i="5"/>
  <c r="E1020" i="5"/>
  <c r="X1020" i="5" s="1"/>
  <c r="V1021" i="5"/>
  <c r="E1021" i="5"/>
  <c r="X1021" i="5" s="1"/>
  <c r="V1022" i="5"/>
  <c r="E1022" i="5"/>
  <c r="X1022" i="5" s="1"/>
  <c r="V1023" i="5"/>
  <c r="E1023" i="5"/>
  <c r="X1023" i="5" s="1"/>
  <c r="V1024" i="5"/>
  <c r="E1024" i="5"/>
  <c r="X1024" i="5" s="1"/>
  <c r="V1025" i="5"/>
  <c r="E1025" i="5"/>
  <c r="X1025" i="5" s="1"/>
  <c r="V1026" i="5"/>
  <c r="E1026" i="5"/>
  <c r="X1026" i="5" s="1"/>
  <c r="V1027" i="5"/>
  <c r="E1027" i="5"/>
  <c r="X1027" i="5" s="1"/>
  <c r="V1028" i="5"/>
  <c r="E1028" i="5"/>
  <c r="X1028" i="5" s="1"/>
  <c r="V1029" i="5"/>
  <c r="E1029" i="5"/>
  <c r="X1029" i="5" s="1"/>
  <c r="V1030" i="5"/>
  <c r="E1030" i="5"/>
  <c r="X1030" i="5" s="1"/>
  <c r="V1031" i="5"/>
  <c r="E1031" i="5"/>
  <c r="X1031" i="5" s="1"/>
  <c r="V1032" i="5"/>
  <c r="E1032" i="5"/>
  <c r="X1032" i="5" s="1"/>
  <c r="V1033" i="5"/>
  <c r="E1033" i="5"/>
  <c r="X1033" i="5" s="1"/>
  <c r="V1034" i="5"/>
  <c r="E1034" i="5"/>
  <c r="X1034" i="5" s="1"/>
  <c r="V1035" i="5"/>
  <c r="E1035" i="5"/>
  <c r="X1035" i="5" s="1"/>
  <c r="V1036" i="5"/>
  <c r="E1036" i="5"/>
  <c r="X1036" i="5" s="1"/>
  <c r="V1037" i="5"/>
  <c r="E1037" i="5"/>
  <c r="X1037" i="5" s="1"/>
  <c r="V1038" i="5"/>
  <c r="E1038" i="5"/>
  <c r="X1038" i="5" s="1"/>
  <c r="V1039" i="5"/>
  <c r="E1039" i="5"/>
  <c r="X1039" i="5" s="1"/>
  <c r="V1040" i="5"/>
  <c r="E1040" i="5"/>
  <c r="X1040" i="5" s="1"/>
  <c r="V1041" i="5"/>
  <c r="E1041" i="5"/>
  <c r="X1041" i="5" s="1"/>
  <c r="V1042" i="5"/>
  <c r="E1042" i="5"/>
  <c r="X1042" i="5" s="1"/>
  <c r="V1043" i="5"/>
  <c r="E1043" i="5"/>
  <c r="X1043" i="5" s="1"/>
  <c r="V1044" i="5"/>
  <c r="E1044" i="5"/>
  <c r="X1044" i="5" s="1"/>
  <c r="V1045" i="5"/>
  <c r="E1045" i="5"/>
  <c r="X1045" i="5" s="1"/>
  <c r="V1046" i="5"/>
  <c r="E1046" i="5"/>
  <c r="X1046" i="5" s="1"/>
  <c r="V1047" i="5"/>
  <c r="E1047" i="5"/>
  <c r="X1047" i="5" s="1"/>
  <c r="V1048" i="5"/>
  <c r="E1048" i="5"/>
  <c r="X1048" i="5" s="1"/>
  <c r="V1049" i="5"/>
  <c r="E1049" i="5"/>
  <c r="X1049" i="5" s="1"/>
  <c r="V1050" i="5"/>
  <c r="E1050" i="5"/>
  <c r="X1050" i="5" s="1"/>
  <c r="V1051" i="5"/>
  <c r="E1051" i="5"/>
  <c r="X1051" i="5" s="1"/>
  <c r="V1052" i="5"/>
  <c r="E1052" i="5"/>
  <c r="X1052" i="5" s="1"/>
  <c r="V1053" i="5"/>
  <c r="E1053" i="5"/>
  <c r="X1053" i="5" s="1"/>
  <c r="V1054" i="5"/>
  <c r="E1054" i="5"/>
  <c r="X1054" i="5" s="1"/>
  <c r="V1055" i="5"/>
  <c r="E1055" i="5"/>
  <c r="X1055" i="5" s="1"/>
  <c r="V1056" i="5"/>
  <c r="E1056" i="5"/>
  <c r="X1056" i="5" s="1"/>
  <c r="V1057" i="5"/>
  <c r="E1057" i="5"/>
  <c r="X1057" i="5" s="1"/>
  <c r="V1058" i="5"/>
  <c r="E1058" i="5"/>
  <c r="X1058" i="5" s="1"/>
  <c r="V1059" i="5"/>
  <c r="E1059" i="5"/>
  <c r="X1059" i="5" s="1"/>
  <c r="V1060" i="5"/>
  <c r="E1060" i="5"/>
  <c r="X1060" i="5" s="1"/>
  <c r="V1061" i="5"/>
  <c r="E1061" i="5"/>
  <c r="X1061" i="5" s="1"/>
  <c r="V1062" i="5"/>
  <c r="E1062" i="5"/>
  <c r="X1062" i="5" s="1"/>
  <c r="V1063" i="5"/>
  <c r="E1063" i="5"/>
  <c r="X1063" i="5" s="1"/>
  <c r="V1064" i="5"/>
  <c r="E1064" i="5"/>
  <c r="X1064" i="5" s="1"/>
  <c r="V1065" i="5"/>
  <c r="E1065" i="5"/>
  <c r="X1065" i="5" s="1"/>
  <c r="V1066" i="5"/>
  <c r="E1066" i="5"/>
  <c r="X1066" i="5" s="1"/>
  <c r="V1067" i="5"/>
  <c r="E1067" i="5"/>
  <c r="X1067" i="5" s="1"/>
  <c r="V1068" i="5"/>
  <c r="E1068" i="5"/>
  <c r="X1068" i="5" s="1"/>
  <c r="V1069" i="5"/>
  <c r="E1069" i="5"/>
  <c r="X1069" i="5" s="1"/>
  <c r="V1070" i="5"/>
  <c r="E1070" i="5"/>
  <c r="X1070" i="5" s="1"/>
  <c r="V1071" i="5"/>
  <c r="E1071" i="5"/>
  <c r="X1071" i="5" s="1"/>
  <c r="V1072" i="5"/>
  <c r="E1072" i="5"/>
  <c r="X1072" i="5" s="1"/>
  <c r="V1073" i="5"/>
  <c r="E1073" i="5"/>
  <c r="X1073" i="5" s="1"/>
  <c r="V1074" i="5"/>
  <c r="E1074" i="5"/>
  <c r="X1074" i="5" s="1"/>
  <c r="V1075" i="5"/>
  <c r="E1075" i="5"/>
  <c r="X1075" i="5" s="1"/>
  <c r="V1076" i="5"/>
  <c r="E1076" i="5"/>
  <c r="X1076" i="5" s="1"/>
  <c r="V1077" i="5"/>
  <c r="E1077" i="5"/>
  <c r="X1077" i="5" s="1"/>
  <c r="V1078" i="5"/>
  <c r="E1078" i="5"/>
  <c r="X1078" i="5" s="1"/>
  <c r="V1079" i="5"/>
  <c r="E1079" i="5"/>
  <c r="X1079" i="5" s="1"/>
  <c r="V1080" i="5"/>
  <c r="E1080" i="5"/>
  <c r="X1080" i="5" s="1"/>
  <c r="V1081" i="5"/>
  <c r="E1081" i="5"/>
  <c r="X1081" i="5" s="1"/>
  <c r="V1082" i="5"/>
  <c r="E1082" i="5"/>
  <c r="X1082" i="5" s="1"/>
  <c r="V1083" i="5"/>
  <c r="E1083" i="5"/>
  <c r="X1083" i="5" s="1"/>
  <c r="V1084" i="5"/>
  <c r="E1084" i="5"/>
  <c r="X1084" i="5" s="1"/>
  <c r="V1085" i="5"/>
  <c r="E1085" i="5"/>
  <c r="X1085" i="5" s="1"/>
  <c r="V1086" i="5"/>
  <c r="E1086" i="5"/>
  <c r="X1086" i="5" s="1"/>
  <c r="V1087" i="5"/>
  <c r="E1087" i="5"/>
  <c r="X1087" i="5" s="1"/>
  <c r="V1088" i="5"/>
  <c r="E1088" i="5"/>
  <c r="X1088" i="5" s="1"/>
  <c r="V1089" i="5"/>
  <c r="E1089" i="5"/>
  <c r="X1089" i="5" s="1"/>
  <c r="V1090" i="5"/>
  <c r="E1090" i="5"/>
  <c r="X1090" i="5" s="1"/>
  <c r="V1091" i="5"/>
  <c r="E1091" i="5"/>
  <c r="X1091" i="5" s="1"/>
  <c r="V1092" i="5"/>
  <c r="E1092" i="5"/>
  <c r="X1092" i="5" s="1"/>
  <c r="V1093" i="5"/>
  <c r="E1093" i="5"/>
  <c r="X1093" i="5" s="1"/>
  <c r="V1094" i="5"/>
  <c r="E1094" i="5"/>
  <c r="X1094" i="5" s="1"/>
  <c r="V1095" i="5"/>
  <c r="E1095" i="5"/>
  <c r="X1095" i="5" s="1"/>
  <c r="V1096" i="5"/>
  <c r="E1096" i="5"/>
  <c r="X1096" i="5" s="1"/>
  <c r="V1097" i="5"/>
  <c r="E1097" i="5"/>
  <c r="X1097" i="5" s="1"/>
  <c r="V1098" i="5"/>
  <c r="E1098" i="5"/>
  <c r="X1098" i="5" s="1"/>
  <c r="V1099" i="5"/>
  <c r="E1099" i="5"/>
  <c r="X1099" i="5" s="1"/>
  <c r="V1100" i="5"/>
  <c r="E1100" i="5"/>
  <c r="X1100" i="5" s="1"/>
  <c r="V1101" i="5"/>
  <c r="E1101" i="5"/>
  <c r="X1101" i="5" s="1"/>
  <c r="V1102" i="5"/>
  <c r="E1102" i="5"/>
  <c r="X1102" i="5" s="1"/>
  <c r="V1103" i="5"/>
  <c r="E1103" i="5"/>
  <c r="X1103" i="5" s="1"/>
  <c r="V1104" i="5"/>
  <c r="E1104" i="5"/>
  <c r="X1104" i="5" s="1"/>
  <c r="V1105" i="5"/>
  <c r="E1105" i="5"/>
  <c r="X1105" i="5" s="1"/>
  <c r="V1106" i="5"/>
  <c r="E1106" i="5"/>
  <c r="X1106" i="5" s="1"/>
  <c r="V1107" i="5"/>
  <c r="E1107" i="5"/>
  <c r="X1107" i="5" s="1"/>
  <c r="V1108" i="5"/>
  <c r="E1108" i="5"/>
  <c r="X1108" i="5" s="1"/>
  <c r="V1109" i="5"/>
  <c r="E1109" i="5"/>
  <c r="X1109" i="5" s="1"/>
  <c r="V1110" i="5"/>
  <c r="E1110" i="5"/>
  <c r="X1110" i="5" s="1"/>
  <c r="V1111" i="5"/>
  <c r="E1111" i="5"/>
  <c r="X1111" i="5" s="1"/>
  <c r="V1112" i="5"/>
  <c r="E1112" i="5"/>
  <c r="X1112" i="5" s="1"/>
  <c r="V1113" i="5"/>
  <c r="E1113" i="5"/>
  <c r="X1113" i="5" s="1"/>
  <c r="V1114" i="5"/>
  <c r="E1114" i="5"/>
  <c r="X1114" i="5" s="1"/>
  <c r="V1115" i="5"/>
  <c r="E1115" i="5"/>
  <c r="X1115" i="5" s="1"/>
  <c r="V1116" i="5"/>
  <c r="E1116" i="5"/>
  <c r="X1116" i="5" s="1"/>
  <c r="V1117" i="5"/>
  <c r="E1117" i="5"/>
  <c r="X1117" i="5" s="1"/>
  <c r="V1118" i="5"/>
  <c r="E1118" i="5"/>
  <c r="X1118" i="5" s="1"/>
  <c r="V1119" i="5"/>
  <c r="E1119" i="5"/>
  <c r="X1119" i="5" s="1"/>
  <c r="V1120" i="5"/>
  <c r="E1120" i="5"/>
  <c r="X1120" i="5" s="1"/>
  <c r="V1121" i="5"/>
  <c r="E1121" i="5"/>
  <c r="X1121" i="5" s="1"/>
  <c r="V1122" i="5"/>
  <c r="E1122" i="5"/>
  <c r="X1122" i="5" s="1"/>
  <c r="V1123" i="5"/>
  <c r="E1123" i="5"/>
  <c r="X1123" i="5" s="1"/>
  <c r="V1124" i="5"/>
  <c r="E1124" i="5"/>
  <c r="X1124" i="5" s="1"/>
  <c r="V1125" i="5"/>
  <c r="E1125" i="5"/>
  <c r="X1125" i="5" s="1"/>
  <c r="V1126" i="5"/>
  <c r="E1126" i="5"/>
  <c r="X1126" i="5" s="1"/>
  <c r="V1127" i="5"/>
  <c r="E1127" i="5"/>
  <c r="X1127" i="5" s="1"/>
  <c r="V1128" i="5"/>
  <c r="E1128" i="5"/>
  <c r="X1128" i="5" s="1"/>
  <c r="V1129" i="5"/>
  <c r="E1129" i="5"/>
  <c r="X1129" i="5" s="1"/>
  <c r="V1130" i="5"/>
  <c r="E1130" i="5"/>
  <c r="X1130" i="5" s="1"/>
  <c r="V1131" i="5"/>
  <c r="E1131" i="5"/>
  <c r="X1131" i="5" s="1"/>
  <c r="V1132" i="5"/>
  <c r="E1132" i="5"/>
  <c r="X1132" i="5" s="1"/>
  <c r="V1133" i="5"/>
  <c r="E1133" i="5"/>
  <c r="X1133" i="5" s="1"/>
  <c r="V1134" i="5"/>
  <c r="E1134" i="5"/>
  <c r="X1134" i="5" s="1"/>
  <c r="V1135" i="5"/>
  <c r="E1135" i="5"/>
  <c r="X1135" i="5" s="1"/>
  <c r="V1136" i="5"/>
  <c r="E1136" i="5"/>
  <c r="X1136" i="5" s="1"/>
  <c r="V1137" i="5"/>
  <c r="E1137" i="5"/>
  <c r="X1137" i="5" s="1"/>
  <c r="V1138" i="5"/>
  <c r="E1138" i="5"/>
  <c r="X1138" i="5" s="1"/>
  <c r="V1139" i="5"/>
  <c r="E1139" i="5"/>
  <c r="X1139" i="5" s="1"/>
  <c r="V1140" i="5"/>
  <c r="E1140" i="5"/>
  <c r="X1140" i="5" s="1"/>
  <c r="V1141" i="5"/>
  <c r="E1141" i="5"/>
  <c r="X1141" i="5" s="1"/>
  <c r="V1142" i="5"/>
  <c r="E1142" i="5"/>
  <c r="X1142" i="5" s="1"/>
  <c r="V1143" i="5"/>
  <c r="E1143" i="5"/>
  <c r="X1143" i="5" s="1"/>
  <c r="V1144" i="5"/>
  <c r="E1144" i="5"/>
  <c r="X1144" i="5" s="1"/>
  <c r="V1145" i="5"/>
  <c r="E1145" i="5"/>
  <c r="X1145" i="5" s="1"/>
  <c r="V1146" i="5"/>
  <c r="E1146" i="5"/>
  <c r="X1146" i="5" s="1"/>
  <c r="V1147" i="5"/>
  <c r="E1147" i="5"/>
  <c r="X1147" i="5" s="1"/>
  <c r="V1148" i="5"/>
  <c r="E1148" i="5"/>
  <c r="X1148" i="5" s="1"/>
  <c r="V1149" i="5"/>
  <c r="E1149" i="5"/>
  <c r="X1149" i="5" s="1"/>
  <c r="V1150" i="5"/>
  <c r="E1150" i="5"/>
  <c r="X1150" i="5" s="1"/>
  <c r="V1151" i="5"/>
  <c r="E1151" i="5"/>
  <c r="X1151" i="5" s="1"/>
  <c r="V1152" i="5"/>
  <c r="E1152" i="5"/>
  <c r="X1152" i="5" s="1"/>
  <c r="V1153" i="5"/>
  <c r="E1153" i="5"/>
  <c r="X1153" i="5" s="1"/>
  <c r="V1154" i="5"/>
  <c r="E1154" i="5"/>
  <c r="X1154" i="5" s="1"/>
  <c r="V1155" i="5"/>
  <c r="E1155" i="5"/>
  <c r="X1155" i="5" s="1"/>
  <c r="V1156" i="5"/>
  <c r="E1156" i="5"/>
  <c r="X1156" i="5" s="1"/>
  <c r="V1157" i="5"/>
  <c r="E1157" i="5"/>
  <c r="X1157" i="5" s="1"/>
  <c r="V1158" i="5"/>
  <c r="E1158" i="5"/>
  <c r="X1158" i="5" s="1"/>
  <c r="V1159" i="5"/>
  <c r="E1159" i="5"/>
  <c r="X1159" i="5" s="1"/>
  <c r="V1160" i="5"/>
  <c r="E1160" i="5"/>
  <c r="X1160" i="5" s="1"/>
  <c r="V1161" i="5"/>
  <c r="E1161" i="5"/>
  <c r="X1161" i="5" s="1"/>
  <c r="V1162" i="5"/>
  <c r="E1162" i="5"/>
  <c r="X1162" i="5" s="1"/>
  <c r="V1163" i="5"/>
  <c r="E1163" i="5"/>
  <c r="X1163" i="5" s="1"/>
  <c r="V1164" i="5"/>
  <c r="E1164" i="5"/>
  <c r="X1164" i="5" s="1"/>
  <c r="V1165" i="5"/>
  <c r="E1165" i="5"/>
  <c r="X1165" i="5" s="1"/>
  <c r="V1166" i="5"/>
  <c r="E1166" i="5"/>
  <c r="X1166" i="5" s="1"/>
  <c r="V1167" i="5"/>
  <c r="E1167" i="5"/>
  <c r="X1167" i="5" s="1"/>
  <c r="V1168" i="5"/>
  <c r="E1168" i="5"/>
  <c r="X1168" i="5" s="1"/>
  <c r="V1169" i="5"/>
  <c r="E1169" i="5"/>
  <c r="X1169" i="5" s="1"/>
  <c r="V1170" i="5"/>
  <c r="E1170" i="5"/>
  <c r="X1170" i="5" s="1"/>
  <c r="V1171" i="5"/>
  <c r="E1171" i="5"/>
  <c r="X1171" i="5" s="1"/>
  <c r="V1172" i="5"/>
  <c r="E1172" i="5"/>
  <c r="X1172" i="5" s="1"/>
  <c r="V1173" i="5"/>
  <c r="E1173" i="5"/>
  <c r="X1173" i="5" s="1"/>
  <c r="V1174" i="5"/>
  <c r="E1174" i="5"/>
  <c r="X1174" i="5" s="1"/>
  <c r="V1175" i="5"/>
  <c r="E1175" i="5"/>
  <c r="X1175" i="5" s="1"/>
  <c r="V1176" i="5"/>
  <c r="E1176" i="5"/>
  <c r="X1176" i="5" s="1"/>
  <c r="V1177" i="5"/>
  <c r="E1177" i="5"/>
  <c r="X1177" i="5" s="1"/>
  <c r="V1178" i="5"/>
  <c r="E1178" i="5"/>
  <c r="X1178" i="5" s="1"/>
  <c r="V1179" i="5"/>
  <c r="E1179" i="5"/>
  <c r="X1179" i="5" s="1"/>
  <c r="V1180" i="5"/>
  <c r="E1180" i="5"/>
  <c r="X1180" i="5" s="1"/>
  <c r="V1181" i="5"/>
  <c r="E1181" i="5"/>
  <c r="X1181" i="5" s="1"/>
  <c r="V1182" i="5"/>
  <c r="E1182" i="5"/>
  <c r="X1182" i="5" s="1"/>
  <c r="V1183" i="5"/>
  <c r="E1183" i="5"/>
  <c r="X1183" i="5" s="1"/>
  <c r="V1184" i="5"/>
  <c r="E1184" i="5"/>
  <c r="X1184" i="5" s="1"/>
  <c r="V1185" i="5"/>
  <c r="E1185" i="5"/>
  <c r="X1185" i="5" s="1"/>
  <c r="V1186" i="5"/>
  <c r="E1186" i="5"/>
  <c r="X1186" i="5" s="1"/>
  <c r="V1187" i="5"/>
  <c r="E1187" i="5"/>
  <c r="X1187" i="5" s="1"/>
  <c r="V1188" i="5"/>
  <c r="E1188" i="5"/>
  <c r="X1188" i="5" s="1"/>
  <c r="V1189" i="5"/>
  <c r="E1189" i="5"/>
  <c r="X1189" i="5" s="1"/>
  <c r="V1190" i="5"/>
  <c r="E1190" i="5"/>
  <c r="X1190" i="5" s="1"/>
  <c r="V1191" i="5"/>
  <c r="E1191" i="5"/>
  <c r="X1191" i="5" s="1"/>
  <c r="V1192" i="5"/>
  <c r="E1192" i="5"/>
  <c r="X1192" i="5" s="1"/>
  <c r="V1193" i="5"/>
  <c r="E1193" i="5"/>
  <c r="X1193" i="5" s="1"/>
  <c r="V1194" i="5"/>
  <c r="E1194" i="5"/>
  <c r="X1194" i="5" s="1"/>
  <c r="V1195" i="5"/>
  <c r="E1195" i="5"/>
  <c r="X1195" i="5" s="1"/>
  <c r="V1196" i="5"/>
  <c r="E1196" i="5"/>
  <c r="X1196" i="5" s="1"/>
  <c r="V1197" i="5"/>
  <c r="E1197" i="5"/>
  <c r="X1197" i="5" s="1"/>
  <c r="V1198" i="5"/>
  <c r="E1198" i="5"/>
  <c r="X1198" i="5" s="1"/>
  <c r="V1199" i="5"/>
  <c r="E1199" i="5"/>
  <c r="X1199" i="5" s="1"/>
  <c r="V1200" i="5"/>
  <c r="E1200" i="5"/>
  <c r="X1200" i="5" s="1"/>
  <c r="V1201" i="5"/>
  <c r="E1201" i="5"/>
  <c r="X1201" i="5" s="1"/>
  <c r="V1202" i="5"/>
  <c r="E1202" i="5"/>
  <c r="X1202" i="5" s="1"/>
  <c r="V1203" i="5"/>
  <c r="E1203" i="5"/>
  <c r="X1203" i="5" s="1"/>
  <c r="V1204" i="5"/>
  <c r="E1204" i="5"/>
  <c r="X1204" i="5" s="1"/>
  <c r="V1205" i="5"/>
  <c r="E1205" i="5"/>
  <c r="X1205" i="5" s="1"/>
  <c r="V1206" i="5"/>
  <c r="E1206" i="5"/>
  <c r="X1206" i="5" s="1"/>
  <c r="V1207" i="5"/>
  <c r="E1207" i="5"/>
  <c r="X1207" i="5" s="1"/>
  <c r="V1208" i="5"/>
  <c r="E1208" i="5"/>
  <c r="X1208" i="5" s="1"/>
  <c r="V1209" i="5"/>
  <c r="E1209" i="5"/>
  <c r="X1209" i="5" s="1"/>
  <c r="V1210" i="5"/>
  <c r="E1210" i="5"/>
  <c r="X1210" i="5" s="1"/>
  <c r="V1211" i="5"/>
  <c r="E1211" i="5"/>
  <c r="X1211" i="5" s="1"/>
  <c r="V1212" i="5"/>
  <c r="E1212" i="5"/>
  <c r="X1212" i="5" s="1"/>
  <c r="V1213" i="5"/>
  <c r="E1213" i="5"/>
  <c r="X1213" i="5" s="1"/>
  <c r="V1214" i="5"/>
  <c r="E1214" i="5"/>
  <c r="X1214" i="5" s="1"/>
  <c r="V1215" i="5"/>
  <c r="E1215" i="5"/>
  <c r="X1215" i="5" s="1"/>
  <c r="V1216" i="5"/>
  <c r="E1216" i="5"/>
  <c r="X1216" i="5" s="1"/>
  <c r="V1217" i="5"/>
  <c r="E1217" i="5"/>
  <c r="X1217" i="5" s="1"/>
  <c r="V1218" i="5"/>
  <c r="E1218" i="5"/>
  <c r="X1218" i="5" s="1"/>
  <c r="V1219" i="5"/>
  <c r="E1219" i="5"/>
  <c r="X1219" i="5" s="1"/>
  <c r="V1220" i="5"/>
  <c r="E1220" i="5"/>
  <c r="X1220" i="5" s="1"/>
  <c r="V1221" i="5"/>
  <c r="E1221" i="5"/>
  <c r="X1221" i="5" s="1"/>
  <c r="V1222" i="5"/>
  <c r="E1222" i="5"/>
  <c r="X1222" i="5" s="1"/>
  <c r="V1223" i="5"/>
  <c r="E1223" i="5"/>
  <c r="X1223" i="5" s="1"/>
  <c r="V1224" i="5"/>
  <c r="E1224" i="5"/>
  <c r="X1224" i="5" s="1"/>
  <c r="V1225" i="5"/>
  <c r="E1225" i="5"/>
  <c r="X1225" i="5" s="1"/>
  <c r="V1226" i="5"/>
  <c r="E1226" i="5"/>
  <c r="X1226" i="5" s="1"/>
  <c r="V1227" i="5"/>
  <c r="E1227" i="5"/>
  <c r="X1227" i="5" s="1"/>
  <c r="V1228" i="5"/>
  <c r="E1228" i="5"/>
  <c r="X1228" i="5" s="1"/>
  <c r="V1229" i="5"/>
  <c r="E1229" i="5"/>
  <c r="X1229" i="5" s="1"/>
  <c r="V1230" i="5"/>
  <c r="E1230" i="5"/>
  <c r="X1230" i="5" s="1"/>
  <c r="V1231" i="5"/>
  <c r="E1231" i="5"/>
  <c r="X1231" i="5" s="1"/>
  <c r="V1232" i="5"/>
  <c r="E1232" i="5"/>
  <c r="X1232" i="5" s="1"/>
  <c r="V1233" i="5"/>
  <c r="E1233" i="5"/>
  <c r="X1233" i="5" s="1"/>
  <c r="V1234" i="5"/>
  <c r="E1234" i="5"/>
  <c r="X1234" i="5" s="1"/>
  <c r="V1235" i="5"/>
  <c r="E1235" i="5"/>
  <c r="X1235" i="5" s="1"/>
  <c r="V1236" i="5"/>
  <c r="E1236" i="5"/>
  <c r="X1236" i="5" s="1"/>
  <c r="V1237" i="5"/>
  <c r="E1237" i="5"/>
  <c r="X1237" i="5" s="1"/>
  <c r="V1238" i="5"/>
  <c r="E1238" i="5"/>
  <c r="X1238" i="5" s="1"/>
  <c r="V1239" i="5"/>
  <c r="E1239" i="5"/>
  <c r="X1239" i="5" s="1"/>
  <c r="V1240" i="5"/>
  <c r="E1240" i="5"/>
  <c r="X1240" i="5" s="1"/>
  <c r="V1241" i="5"/>
  <c r="E1241" i="5"/>
  <c r="X1241" i="5" s="1"/>
  <c r="V1242" i="5"/>
  <c r="E1242" i="5"/>
  <c r="X1242" i="5" s="1"/>
  <c r="V1243" i="5"/>
  <c r="E1243" i="5"/>
  <c r="X1243" i="5" s="1"/>
  <c r="V1244" i="5"/>
  <c r="E1244" i="5"/>
  <c r="X1244" i="5" s="1"/>
  <c r="V1245" i="5"/>
  <c r="E1245" i="5"/>
  <c r="X1245" i="5" s="1"/>
  <c r="V1246" i="5"/>
  <c r="E1246" i="5"/>
  <c r="X1246" i="5" s="1"/>
  <c r="V1247" i="5"/>
  <c r="E1247" i="5"/>
  <c r="X1247" i="5" s="1"/>
  <c r="V1248" i="5"/>
  <c r="E1248" i="5"/>
  <c r="X1248" i="5" s="1"/>
  <c r="V1249" i="5"/>
  <c r="E1249" i="5"/>
  <c r="X1249" i="5" s="1"/>
  <c r="V1250" i="5"/>
  <c r="E1250" i="5"/>
  <c r="X1250" i="5" s="1"/>
  <c r="V1251" i="5"/>
  <c r="E1251" i="5"/>
  <c r="X1251" i="5" s="1"/>
  <c r="V1252" i="5"/>
  <c r="E1252" i="5"/>
  <c r="X1252" i="5" s="1"/>
  <c r="V1253" i="5"/>
  <c r="E1253" i="5"/>
  <c r="X1253" i="5" s="1"/>
  <c r="V1254" i="5"/>
  <c r="E1254" i="5"/>
  <c r="X1254" i="5" s="1"/>
  <c r="V1255" i="5"/>
  <c r="E1255" i="5"/>
  <c r="X1255" i="5" s="1"/>
  <c r="V1256" i="5"/>
  <c r="E1256" i="5"/>
  <c r="X1256" i="5" s="1"/>
  <c r="V1257" i="5"/>
  <c r="E1257" i="5"/>
  <c r="X1257" i="5" s="1"/>
  <c r="V1258" i="5"/>
  <c r="E1258" i="5"/>
  <c r="X1258" i="5" s="1"/>
  <c r="V1259" i="5"/>
  <c r="E1259" i="5"/>
  <c r="X1259" i="5" s="1"/>
  <c r="V1260" i="5"/>
  <c r="E1260" i="5"/>
  <c r="X1260" i="5" s="1"/>
  <c r="V1261" i="5"/>
  <c r="E1261" i="5"/>
  <c r="X1261" i="5" s="1"/>
  <c r="V1262" i="5"/>
  <c r="E1262" i="5"/>
  <c r="X1262" i="5" s="1"/>
  <c r="V1263" i="5"/>
  <c r="E1263" i="5"/>
  <c r="X1263" i="5" s="1"/>
  <c r="V1264" i="5"/>
  <c r="E1264" i="5"/>
  <c r="X1264" i="5" s="1"/>
  <c r="V1265" i="5"/>
  <c r="E1265" i="5"/>
  <c r="X1265" i="5" s="1"/>
  <c r="V1266" i="5"/>
  <c r="E1266" i="5"/>
  <c r="X1266" i="5" s="1"/>
  <c r="V1267" i="5"/>
  <c r="E1267" i="5"/>
  <c r="X1267" i="5" s="1"/>
  <c r="V1268" i="5"/>
  <c r="E1268" i="5"/>
  <c r="X1268" i="5" s="1"/>
  <c r="V1269" i="5"/>
  <c r="E1269" i="5"/>
  <c r="X1269" i="5" s="1"/>
  <c r="V1270" i="5"/>
  <c r="E1270" i="5"/>
  <c r="X1270" i="5" s="1"/>
  <c r="V1271" i="5"/>
  <c r="E1271" i="5"/>
  <c r="X1271" i="5" s="1"/>
  <c r="V1272" i="5"/>
  <c r="E1272" i="5"/>
  <c r="X1272" i="5" s="1"/>
  <c r="V1273" i="5"/>
  <c r="E1273" i="5"/>
  <c r="X1273" i="5" s="1"/>
  <c r="V1274" i="5"/>
  <c r="E1274" i="5"/>
  <c r="X1274" i="5" s="1"/>
  <c r="V1275" i="5"/>
  <c r="E1275" i="5"/>
  <c r="X1275" i="5" s="1"/>
  <c r="V1276" i="5"/>
  <c r="E1276" i="5"/>
  <c r="X1276" i="5" s="1"/>
  <c r="V1277" i="5"/>
  <c r="E1277" i="5"/>
  <c r="X1277" i="5" s="1"/>
  <c r="V1278" i="5"/>
  <c r="E1278" i="5"/>
  <c r="X1278" i="5" s="1"/>
  <c r="V1279" i="5"/>
  <c r="E1279" i="5"/>
  <c r="X1279" i="5" s="1"/>
  <c r="V1280" i="5"/>
  <c r="E1280" i="5"/>
  <c r="X1280" i="5" s="1"/>
  <c r="V1281" i="5"/>
  <c r="E1281" i="5"/>
  <c r="X1281" i="5" s="1"/>
  <c r="V1282" i="5"/>
  <c r="E1282" i="5"/>
  <c r="X1282" i="5" s="1"/>
  <c r="V1283" i="5"/>
  <c r="E1283" i="5"/>
  <c r="X1283" i="5" s="1"/>
  <c r="V1284" i="5"/>
  <c r="E1284" i="5"/>
  <c r="X1284" i="5" s="1"/>
  <c r="V1285" i="5"/>
  <c r="E1285" i="5"/>
  <c r="X1285" i="5" s="1"/>
  <c r="V1286" i="5"/>
  <c r="E1286" i="5"/>
  <c r="X1286" i="5" s="1"/>
  <c r="V1287" i="5"/>
  <c r="E1287" i="5"/>
  <c r="X1287" i="5" s="1"/>
  <c r="V1288" i="5"/>
  <c r="E1288" i="5"/>
  <c r="X1288" i="5" s="1"/>
  <c r="V1289" i="5"/>
  <c r="E1289" i="5"/>
  <c r="X1289" i="5" s="1"/>
  <c r="V1290" i="5"/>
  <c r="E1290" i="5"/>
  <c r="X1290" i="5" s="1"/>
  <c r="V1291" i="5"/>
  <c r="E1291" i="5"/>
  <c r="X1291" i="5" s="1"/>
  <c r="V1292" i="5"/>
  <c r="E1292" i="5"/>
  <c r="X1292" i="5" s="1"/>
  <c r="V1293" i="5"/>
  <c r="E1293" i="5"/>
  <c r="X1293" i="5" s="1"/>
  <c r="V1294" i="5"/>
  <c r="E1294" i="5"/>
  <c r="X1294" i="5" s="1"/>
  <c r="V1295" i="5"/>
  <c r="E1295" i="5"/>
  <c r="X1295" i="5" s="1"/>
  <c r="V1296" i="5"/>
  <c r="E1296" i="5"/>
  <c r="X1296" i="5" s="1"/>
  <c r="V1297" i="5"/>
  <c r="E1297" i="5"/>
  <c r="X1297" i="5" s="1"/>
  <c r="V1298" i="5"/>
  <c r="E1298" i="5"/>
  <c r="X1298" i="5" s="1"/>
  <c r="V1299" i="5"/>
  <c r="E1299" i="5"/>
  <c r="X1299" i="5" s="1"/>
  <c r="V1300" i="5"/>
  <c r="E1300" i="5"/>
  <c r="X1300" i="5" s="1"/>
  <c r="V1301" i="5"/>
  <c r="E1301" i="5"/>
  <c r="X1301" i="5" s="1"/>
  <c r="V1302" i="5"/>
  <c r="E1302" i="5"/>
  <c r="X1302" i="5" s="1"/>
  <c r="V1303" i="5"/>
  <c r="E1303" i="5"/>
  <c r="X1303" i="5" s="1"/>
  <c r="V1304" i="5"/>
  <c r="E1304" i="5"/>
  <c r="X1304" i="5" s="1"/>
  <c r="V1305" i="5"/>
  <c r="E1305" i="5"/>
  <c r="X1305" i="5" s="1"/>
  <c r="V1306" i="5"/>
  <c r="E1306" i="5"/>
  <c r="X1306" i="5" s="1"/>
  <c r="V1307" i="5"/>
  <c r="E1307" i="5"/>
  <c r="X1307" i="5" s="1"/>
  <c r="V1308" i="5"/>
  <c r="E1308" i="5"/>
  <c r="X1308" i="5" s="1"/>
  <c r="V1309" i="5"/>
  <c r="E1309" i="5"/>
  <c r="X1309" i="5" s="1"/>
  <c r="V1310" i="5"/>
  <c r="E1310" i="5"/>
  <c r="X1310" i="5" s="1"/>
  <c r="V1311" i="5"/>
  <c r="E1311" i="5"/>
  <c r="X1311" i="5" s="1"/>
  <c r="V1312" i="5"/>
  <c r="E1312" i="5"/>
  <c r="X1312" i="5" s="1"/>
  <c r="V1313" i="5"/>
  <c r="E1313" i="5"/>
  <c r="X1313" i="5" s="1"/>
  <c r="V1314" i="5"/>
  <c r="E1314" i="5"/>
  <c r="X1314" i="5" s="1"/>
  <c r="V1315" i="5"/>
  <c r="E1315" i="5"/>
  <c r="X1315" i="5" s="1"/>
  <c r="V1316" i="5"/>
  <c r="E1316" i="5"/>
  <c r="X1316" i="5" s="1"/>
  <c r="V1317" i="5"/>
  <c r="E1317" i="5"/>
  <c r="X1317" i="5" s="1"/>
  <c r="V1318" i="5"/>
  <c r="E1318" i="5"/>
  <c r="X1318" i="5" s="1"/>
  <c r="V1319" i="5"/>
  <c r="E1319" i="5"/>
  <c r="X1319" i="5" s="1"/>
  <c r="V1320" i="5"/>
  <c r="E1320" i="5"/>
  <c r="X1320" i="5" s="1"/>
  <c r="V1321" i="5"/>
  <c r="E1321" i="5"/>
  <c r="X1321" i="5" s="1"/>
  <c r="V1322" i="5"/>
  <c r="E1322" i="5"/>
  <c r="X1322" i="5" s="1"/>
  <c r="V1323" i="5"/>
  <c r="E1323" i="5"/>
  <c r="X1323" i="5" s="1"/>
  <c r="V1324" i="5"/>
  <c r="E1324" i="5"/>
  <c r="X1324" i="5" s="1"/>
  <c r="V1325" i="5"/>
  <c r="E1325" i="5"/>
  <c r="X1325" i="5" s="1"/>
  <c r="V1326" i="5"/>
  <c r="E1326" i="5"/>
  <c r="X1326" i="5" s="1"/>
  <c r="V1327" i="5"/>
  <c r="E1327" i="5"/>
  <c r="X1327" i="5" s="1"/>
  <c r="V1328" i="5"/>
  <c r="E1328" i="5"/>
  <c r="X1328" i="5" s="1"/>
  <c r="V1329" i="5"/>
  <c r="E1329" i="5"/>
  <c r="X1329" i="5" s="1"/>
  <c r="V1330" i="5"/>
  <c r="E1330" i="5"/>
  <c r="X1330" i="5" s="1"/>
  <c r="V1331" i="5"/>
  <c r="E1331" i="5"/>
  <c r="X1331" i="5" s="1"/>
  <c r="V1332" i="5"/>
  <c r="E1332" i="5"/>
  <c r="X1332" i="5" s="1"/>
  <c r="V1333" i="5"/>
  <c r="E1333" i="5"/>
  <c r="X1333" i="5" s="1"/>
  <c r="V1334" i="5"/>
  <c r="E1334" i="5"/>
  <c r="X1334" i="5" s="1"/>
  <c r="V1335" i="5"/>
  <c r="E1335" i="5"/>
  <c r="X1335" i="5" s="1"/>
  <c r="V1336" i="5"/>
  <c r="E1336" i="5"/>
  <c r="X1336" i="5" s="1"/>
  <c r="V1337" i="5"/>
  <c r="E1337" i="5"/>
  <c r="X1337" i="5" s="1"/>
  <c r="V1338" i="5"/>
  <c r="E1338" i="5"/>
  <c r="X1338" i="5" s="1"/>
  <c r="V1339" i="5"/>
  <c r="E1339" i="5"/>
  <c r="X1339" i="5" s="1"/>
  <c r="V1340" i="5"/>
  <c r="E1340" i="5"/>
  <c r="X1340" i="5" s="1"/>
  <c r="V1341" i="5"/>
  <c r="E1341" i="5"/>
  <c r="X1341" i="5" s="1"/>
  <c r="V1342" i="5"/>
  <c r="E1342" i="5"/>
  <c r="X1342" i="5" s="1"/>
  <c r="V1343" i="5"/>
  <c r="E1343" i="5"/>
  <c r="X1343" i="5" s="1"/>
  <c r="V1344" i="5"/>
  <c r="E1344" i="5"/>
  <c r="X1344" i="5" s="1"/>
  <c r="V1345" i="5"/>
  <c r="E1345" i="5"/>
  <c r="X1345" i="5" s="1"/>
  <c r="V1346" i="5"/>
  <c r="E1346" i="5"/>
  <c r="X1346" i="5" s="1"/>
  <c r="V1347" i="5"/>
  <c r="E1347" i="5"/>
  <c r="X1347" i="5" s="1"/>
  <c r="V1348" i="5"/>
  <c r="E1348" i="5"/>
  <c r="X1348" i="5" s="1"/>
  <c r="V1349" i="5"/>
  <c r="E1349" i="5"/>
  <c r="X1349" i="5" s="1"/>
  <c r="V1350" i="5"/>
  <c r="E1350" i="5"/>
  <c r="X1350" i="5" s="1"/>
  <c r="V1351" i="5"/>
  <c r="E1351" i="5"/>
  <c r="X1351" i="5" s="1"/>
  <c r="V1352" i="5"/>
  <c r="E1352" i="5"/>
  <c r="X1352" i="5" s="1"/>
  <c r="V1353" i="5"/>
  <c r="E1353" i="5"/>
  <c r="X1353" i="5" s="1"/>
  <c r="V1354" i="5"/>
  <c r="E1354" i="5"/>
  <c r="X1354" i="5" s="1"/>
  <c r="V1355" i="5"/>
  <c r="E1355" i="5"/>
  <c r="X1355" i="5" s="1"/>
  <c r="V1356" i="5"/>
  <c r="E1356" i="5"/>
  <c r="X1356" i="5" s="1"/>
  <c r="V1357" i="5"/>
  <c r="E1357" i="5"/>
  <c r="X1357" i="5" s="1"/>
  <c r="V1358" i="5"/>
  <c r="E1358" i="5"/>
  <c r="X1358" i="5" s="1"/>
  <c r="V1359" i="5"/>
  <c r="E1359" i="5"/>
  <c r="X1359" i="5" s="1"/>
  <c r="V1360" i="5"/>
  <c r="E1360" i="5"/>
  <c r="X1360" i="5" s="1"/>
  <c r="V1361" i="5"/>
  <c r="E1361" i="5"/>
  <c r="X1361" i="5" s="1"/>
  <c r="V1362" i="5"/>
  <c r="E1362" i="5"/>
  <c r="X1362" i="5" s="1"/>
  <c r="V1363" i="5"/>
  <c r="E1363" i="5"/>
  <c r="X1363" i="5" s="1"/>
  <c r="V1364" i="5"/>
  <c r="E1364" i="5"/>
  <c r="X1364" i="5" s="1"/>
  <c r="V1365" i="5"/>
  <c r="E1365" i="5"/>
  <c r="X1365" i="5" s="1"/>
  <c r="V1366" i="5"/>
  <c r="E1366" i="5"/>
  <c r="X1366" i="5" s="1"/>
  <c r="V1367" i="5"/>
  <c r="E1367" i="5"/>
  <c r="X1367" i="5" s="1"/>
  <c r="V1368" i="5"/>
  <c r="E1368" i="5"/>
  <c r="X1368" i="5" s="1"/>
  <c r="V1369" i="5"/>
  <c r="E1369" i="5"/>
  <c r="X1369" i="5" s="1"/>
  <c r="V1370" i="5"/>
  <c r="E1370" i="5"/>
  <c r="X1370" i="5" s="1"/>
  <c r="V1371" i="5"/>
  <c r="E1371" i="5"/>
  <c r="X1371" i="5" s="1"/>
  <c r="V1372" i="5"/>
  <c r="E1372" i="5"/>
  <c r="X1372" i="5" s="1"/>
  <c r="V1373" i="5"/>
  <c r="E1373" i="5"/>
  <c r="X1373" i="5" s="1"/>
  <c r="V1374" i="5"/>
  <c r="E1374" i="5"/>
  <c r="X1374" i="5" s="1"/>
  <c r="V1375" i="5"/>
  <c r="E1375" i="5"/>
  <c r="X1375" i="5" s="1"/>
  <c r="V1376" i="5"/>
  <c r="E1376" i="5"/>
  <c r="X1376" i="5" s="1"/>
  <c r="V1377" i="5"/>
  <c r="E1377" i="5"/>
  <c r="X1377" i="5" s="1"/>
  <c r="V1378" i="5"/>
  <c r="E1378" i="5"/>
  <c r="X1378" i="5" s="1"/>
  <c r="V1379" i="5"/>
  <c r="E1379" i="5"/>
  <c r="X1379" i="5" s="1"/>
  <c r="V1380" i="5"/>
  <c r="E1380" i="5"/>
  <c r="X1380" i="5" s="1"/>
  <c r="V1381" i="5"/>
  <c r="E1381" i="5"/>
  <c r="X1381" i="5" s="1"/>
  <c r="V1382" i="5"/>
  <c r="E1382" i="5"/>
  <c r="X1382" i="5" s="1"/>
  <c r="V1383" i="5"/>
  <c r="E1383" i="5"/>
  <c r="X1383" i="5" s="1"/>
  <c r="V1384" i="5"/>
  <c r="E1384" i="5"/>
  <c r="X1384" i="5" s="1"/>
  <c r="V1385" i="5"/>
  <c r="E1385" i="5"/>
  <c r="X1385" i="5" s="1"/>
  <c r="V1386" i="5"/>
  <c r="E1386" i="5"/>
  <c r="X1386" i="5" s="1"/>
  <c r="V1387" i="5"/>
  <c r="E1387" i="5"/>
  <c r="X1387" i="5" s="1"/>
  <c r="V1388" i="5"/>
  <c r="E1388" i="5"/>
  <c r="X1388" i="5" s="1"/>
  <c r="V1389" i="5"/>
  <c r="E1389" i="5"/>
  <c r="X1389" i="5" s="1"/>
  <c r="V1390" i="5"/>
  <c r="E1390" i="5"/>
  <c r="X1390" i="5" s="1"/>
  <c r="V1391" i="5"/>
  <c r="E1391" i="5"/>
  <c r="X1391" i="5" s="1"/>
  <c r="V1392" i="5"/>
  <c r="E1392" i="5"/>
  <c r="X1392" i="5" s="1"/>
  <c r="V1393" i="5"/>
  <c r="E1393" i="5"/>
  <c r="X1393" i="5" s="1"/>
  <c r="V1394" i="5"/>
  <c r="E1394" i="5"/>
  <c r="X1394" i="5" s="1"/>
  <c r="V1395" i="5"/>
  <c r="E1395" i="5"/>
  <c r="X1395" i="5" s="1"/>
  <c r="V1396" i="5"/>
  <c r="E1396" i="5"/>
  <c r="X1396" i="5" s="1"/>
  <c r="V1397" i="5"/>
  <c r="E1397" i="5"/>
  <c r="X1397" i="5" s="1"/>
  <c r="V1398" i="5"/>
  <c r="E1398" i="5"/>
  <c r="X1398" i="5" s="1"/>
  <c r="V1399" i="5"/>
  <c r="E1399" i="5"/>
  <c r="X1399" i="5" s="1"/>
  <c r="V1400" i="5"/>
  <c r="E1400" i="5"/>
  <c r="X1400" i="5" s="1"/>
  <c r="V1401" i="5"/>
  <c r="E1401" i="5"/>
  <c r="X1401" i="5" s="1"/>
  <c r="V1402" i="5"/>
  <c r="E1402" i="5"/>
  <c r="X1402" i="5" s="1"/>
  <c r="V1403" i="5"/>
  <c r="E1403" i="5"/>
  <c r="X1403" i="5" s="1"/>
  <c r="V1404" i="5"/>
  <c r="E1404" i="5"/>
  <c r="X1404" i="5" s="1"/>
  <c r="V1405" i="5"/>
  <c r="E1405" i="5"/>
  <c r="X1405" i="5" s="1"/>
  <c r="V1406" i="5"/>
  <c r="E1406" i="5"/>
  <c r="X1406" i="5" s="1"/>
  <c r="V1407" i="5"/>
  <c r="E1407" i="5"/>
  <c r="X1407" i="5" s="1"/>
  <c r="V1408" i="5"/>
  <c r="E1408" i="5"/>
  <c r="X1408" i="5" s="1"/>
  <c r="V1409" i="5"/>
  <c r="E1409" i="5"/>
  <c r="X1409" i="5" s="1"/>
  <c r="V1410" i="5"/>
  <c r="E1410" i="5"/>
  <c r="X1410" i="5" s="1"/>
  <c r="V1411" i="5"/>
  <c r="E1411" i="5"/>
  <c r="X1411" i="5" s="1"/>
  <c r="V1412" i="5"/>
  <c r="E1412" i="5"/>
  <c r="X1412" i="5" s="1"/>
  <c r="V1413" i="5"/>
  <c r="E1413" i="5"/>
  <c r="X1413" i="5" s="1"/>
  <c r="V1414" i="5"/>
  <c r="E1414" i="5"/>
  <c r="X1414" i="5" s="1"/>
  <c r="V1415" i="5"/>
  <c r="E1415" i="5"/>
  <c r="X1415" i="5" s="1"/>
  <c r="V1416" i="5"/>
  <c r="E1416" i="5"/>
  <c r="X1416" i="5" s="1"/>
  <c r="V1417" i="5"/>
  <c r="E1417" i="5"/>
  <c r="X1417" i="5" s="1"/>
  <c r="V1418" i="5"/>
  <c r="E1418" i="5"/>
  <c r="X1418" i="5" s="1"/>
  <c r="V1419" i="5"/>
  <c r="E1419" i="5"/>
  <c r="X1419" i="5" s="1"/>
  <c r="V1420" i="5"/>
  <c r="E1420" i="5"/>
  <c r="X1420" i="5" s="1"/>
  <c r="V1421" i="5"/>
  <c r="E1421" i="5"/>
  <c r="X1421" i="5" s="1"/>
  <c r="V1422" i="5"/>
  <c r="E1422" i="5"/>
  <c r="X1422" i="5" s="1"/>
  <c r="V1423" i="5"/>
  <c r="E1423" i="5"/>
  <c r="X1423" i="5" s="1"/>
  <c r="V1424" i="5"/>
  <c r="E1424" i="5"/>
  <c r="X1424" i="5" s="1"/>
  <c r="V1425" i="5"/>
  <c r="E1425" i="5"/>
  <c r="X1425" i="5" s="1"/>
  <c r="V1426" i="5"/>
  <c r="E1426" i="5"/>
  <c r="X1426" i="5" s="1"/>
  <c r="V1427" i="5"/>
  <c r="E1427" i="5"/>
  <c r="X1427" i="5" s="1"/>
  <c r="V1428" i="5"/>
  <c r="E1428" i="5"/>
  <c r="X1428" i="5" s="1"/>
  <c r="V1429" i="5"/>
  <c r="E1429" i="5"/>
  <c r="X1429" i="5" s="1"/>
  <c r="V1430" i="5"/>
  <c r="E1430" i="5"/>
  <c r="X1430" i="5" s="1"/>
  <c r="V1431" i="5"/>
  <c r="E1431" i="5"/>
  <c r="X1431" i="5" s="1"/>
  <c r="V1432" i="5"/>
  <c r="E1432" i="5"/>
  <c r="X1432" i="5" s="1"/>
  <c r="V1433" i="5"/>
  <c r="E1433" i="5"/>
  <c r="X1433" i="5" s="1"/>
  <c r="V1434" i="5"/>
  <c r="E1434" i="5"/>
  <c r="X1434" i="5" s="1"/>
  <c r="V1435" i="5"/>
  <c r="E1435" i="5"/>
  <c r="X1435" i="5" s="1"/>
  <c r="V1436" i="5"/>
  <c r="E1436" i="5"/>
  <c r="X1436" i="5" s="1"/>
  <c r="V1437" i="5"/>
  <c r="E1437" i="5"/>
  <c r="X1437" i="5" s="1"/>
  <c r="V1438" i="5"/>
  <c r="E1438" i="5"/>
  <c r="X1438" i="5" s="1"/>
  <c r="V1439" i="5"/>
  <c r="E1439" i="5"/>
  <c r="X1439" i="5" s="1"/>
  <c r="V1440" i="5"/>
  <c r="E1440" i="5"/>
  <c r="X1440" i="5" s="1"/>
  <c r="V1441" i="5"/>
  <c r="E1441" i="5"/>
  <c r="X1441" i="5" s="1"/>
  <c r="V1442" i="5"/>
  <c r="E1442" i="5"/>
  <c r="X1442" i="5" s="1"/>
  <c r="V1443" i="5"/>
  <c r="E1443" i="5"/>
  <c r="X1443" i="5" s="1"/>
  <c r="V1444" i="5"/>
  <c r="E1444" i="5"/>
  <c r="X1444" i="5" s="1"/>
  <c r="V1445" i="5"/>
  <c r="E1445" i="5"/>
  <c r="X1445" i="5" s="1"/>
  <c r="V1446" i="5"/>
  <c r="E1446" i="5"/>
  <c r="X1446" i="5" s="1"/>
  <c r="V1447" i="5"/>
  <c r="E1447" i="5"/>
  <c r="X1447" i="5" s="1"/>
  <c r="V1448" i="5"/>
  <c r="E1448" i="5"/>
  <c r="X1448" i="5" s="1"/>
  <c r="V1449" i="5"/>
  <c r="E1449" i="5"/>
  <c r="X1449" i="5" s="1"/>
  <c r="V1450" i="5"/>
  <c r="E1450" i="5"/>
  <c r="X1450" i="5" s="1"/>
  <c r="V1451" i="5"/>
  <c r="E1451" i="5"/>
  <c r="X1451" i="5" s="1"/>
  <c r="V1452" i="5"/>
  <c r="E1452" i="5"/>
  <c r="X1452" i="5" s="1"/>
  <c r="V1453" i="5"/>
  <c r="E1453" i="5"/>
  <c r="X1453" i="5" s="1"/>
  <c r="V1454" i="5"/>
  <c r="E1454" i="5"/>
  <c r="X1454" i="5" s="1"/>
  <c r="V1455" i="5"/>
  <c r="E1455" i="5"/>
  <c r="X1455" i="5" s="1"/>
  <c r="V1456" i="5"/>
  <c r="E1456" i="5"/>
  <c r="X1456" i="5" s="1"/>
  <c r="V1457" i="5"/>
  <c r="E1457" i="5"/>
  <c r="X1457" i="5" s="1"/>
  <c r="V1458" i="5"/>
  <c r="E1458" i="5"/>
  <c r="X1458" i="5" s="1"/>
  <c r="V1459" i="5"/>
  <c r="E1459" i="5"/>
  <c r="X1459" i="5" s="1"/>
  <c r="V1460" i="5"/>
  <c r="E1460" i="5"/>
  <c r="X1460" i="5" s="1"/>
  <c r="V1461" i="5"/>
  <c r="E1461" i="5"/>
  <c r="X1461" i="5" s="1"/>
  <c r="V1462" i="5"/>
  <c r="E1462" i="5"/>
  <c r="X1462" i="5" s="1"/>
  <c r="V1463" i="5"/>
  <c r="E1463" i="5"/>
  <c r="X1463" i="5" s="1"/>
  <c r="V1464" i="5"/>
  <c r="E1464" i="5"/>
  <c r="X1464" i="5" s="1"/>
  <c r="V1465" i="5"/>
  <c r="E1465" i="5"/>
  <c r="X1465" i="5" s="1"/>
  <c r="V1466" i="5"/>
  <c r="E1466" i="5"/>
  <c r="X1466" i="5" s="1"/>
  <c r="V1467" i="5"/>
  <c r="E1467" i="5"/>
  <c r="X1467" i="5" s="1"/>
  <c r="V1468" i="5"/>
  <c r="E1468" i="5"/>
  <c r="X1468" i="5" s="1"/>
  <c r="V1469" i="5"/>
  <c r="E1469" i="5"/>
  <c r="X1469" i="5" s="1"/>
  <c r="V1470" i="5"/>
  <c r="E1470" i="5"/>
  <c r="X1470" i="5" s="1"/>
  <c r="V1471" i="5"/>
  <c r="E1471" i="5"/>
  <c r="X1471" i="5" s="1"/>
  <c r="V1472" i="5"/>
  <c r="E1472" i="5"/>
  <c r="X1472" i="5" s="1"/>
  <c r="V1473" i="5"/>
  <c r="E1473" i="5"/>
  <c r="X1473" i="5" s="1"/>
  <c r="V1474" i="5"/>
  <c r="E1474" i="5"/>
  <c r="X1474" i="5" s="1"/>
  <c r="V1475" i="5"/>
  <c r="E1475" i="5"/>
  <c r="X1475" i="5" s="1"/>
  <c r="V1476" i="5"/>
  <c r="E1476" i="5"/>
  <c r="X1476" i="5" s="1"/>
  <c r="V1477" i="5"/>
  <c r="E1477" i="5"/>
  <c r="X1477" i="5" s="1"/>
  <c r="V1478" i="5"/>
  <c r="E1478" i="5"/>
  <c r="X1478" i="5" s="1"/>
  <c r="V1479" i="5"/>
  <c r="E1479" i="5"/>
  <c r="X1479" i="5" s="1"/>
  <c r="V1480" i="5"/>
  <c r="E1480" i="5"/>
  <c r="X1480" i="5" s="1"/>
  <c r="V1481" i="5"/>
  <c r="E1481" i="5"/>
  <c r="X1481" i="5" s="1"/>
  <c r="V1482" i="5"/>
  <c r="E1482" i="5"/>
  <c r="X1482" i="5" s="1"/>
  <c r="V1483" i="5"/>
  <c r="E1483" i="5"/>
  <c r="X1483" i="5" s="1"/>
  <c r="V1484" i="5"/>
  <c r="E1484" i="5"/>
  <c r="X1484" i="5" s="1"/>
  <c r="V1485" i="5"/>
  <c r="E1485" i="5"/>
  <c r="X1485" i="5" s="1"/>
  <c r="V1486" i="5"/>
  <c r="E1486" i="5"/>
  <c r="X1486" i="5" s="1"/>
  <c r="V1487" i="5"/>
  <c r="E1487" i="5"/>
  <c r="X1487" i="5" s="1"/>
  <c r="V1488" i="5"/>
  <c r="E1488" i="5"/>
  <c r="X1488" i="5" s="1"/>
  <c r="V1489" i="5"/>
  <c r="E1489" i="5"/>
  <c r="X1489" i="5" s="1"/>
  <c r="V1490" i="5"/>
  <c r="E1490" i="5"/>
  <c r="X1490" i="5" s="1"/>
  <c r="V1491" i="5"/>
  <c r="E1491" i="5"/>
  <c r="X1491" i="5" s="1"/>
  <c r="V1492" i="5"/>
  <c r="E1492" i="5"/>
  <c r="X1492" i="5" s="1"/>
  <c r="V1493" i="5"/>
  <c r="E1493" i="5"/>
  <c r="X1493" i="5" s="1"/>
  <c r="V1494" i="5"/>
  <c r="E1494" i="5"/>
  <c r="X1494" i="5" s="1"/>
  <c r="V1495" i="5"/>
  <c r="E1495" i="5"/>
  <c r="X1495" i="5" s="1"/>
  <c r="V1496" i="5"/>
  <c r="E1496" i="5"/>
  <c r="X1496" i="5" s="1"/>
  <c r="V1497" i="5"/>
  <c r="E1497" i="5"/>
  <c r="X1497" i="5" s="1"/>
  <c r="V1498" i="5"/>
  <c r="E1498" i="5"/>
  <c r="X1498" i="5" s="1"/>
  <c r="V1499" i="5"/>
  <c r="E1499" i="5"/>
  <c r="X1499" i="5" s="1"/>
  <c r="V1500" i="5"/>
  <c r="E1500" i="5"/>
  <c r="X1500" i="5" s="1"/>
  <c r="V1501" i="5"/>
  <c r="E1501" i="5"/>
  <c r="X1501" i="5" s="1"/>
  <c r="V1502" i="5"/>
  <c r="E1502" i="5"/>
  <c r="X1502" i="5" s="1"/>
  <c r="V1503" i="5"/>
  <c r="E1503" i="5"/>
  <c r="X1503" i="5" s="1"/>
  <c r="V1504" i="5"/>
  <c r="E1504" i="5"/>
  <c r="X1504" i="5" s="1"/>
  <c r="V1505" i="5"/>
  <c r="E1505" i="5"/>
  <c r="X1505" i="5" s="1"/>
  <c r="V1506" i="5"/>
  <c r="E1506" i="5"/>
  <c r="X1506" i="5" s="1"/>
  <c r="V1507" i="5"/>
  <c r="E1507" i="5"/>
  <c r="X1507" i="5" s="1"/>
  <c r="V1508" i="5"/>
  <c r="E1508" i="5"/>
  <c r="X1508" i="5" s="1"/>
  <c r="V1509" i="5"/>
  <c r="E1509" i="5"/>
  <c r="X1509" i="5" s="1"/>
  <c r="V1510" i="5"/>
  <c r="E1510" i="5"/>
  <c r="X1510" i="5" s="1"/>
  <c r="V1511" i="5"/>
  <c r="E1511" i="5"/>
  <c r="X1511" i="5" s="1"/>
  <c r="V1512" i="5"/>
  <c r="E1512" i="5"/>
  <c r="X1512" i="5" s="1"/>
  <c r="V1513" i="5"/>
  <c r="E1513" i="5"/>
  <c r="X1513" i="5" s="1"/>
  <c r="V1514" i="5"/>
  <c r="E1514" i="5"/>
  <c r="X1514" i="5" s="1"/>
  <c r="V1515" i="5"/>
  <c r="E1515" i="5"/>
  <c r="X1515" i="5" s="1"/>
  <c r="V1516" i="5"/>
  <c r="E1516" i="5"/>
  <c r="X1516" i="5" s="1"/>
  <c r="V1517" i="5"/>
  <c r="E1517" i="5"/>
  <c r="X1517" i="5" s="1"/>
  <c r="V1518" i="5"/>
  <c r="E1518" i="5"/>
  <c r="X1518" i="5" s="1"/>
  <c r="V1519" i="5"/>
  <c r="E1519" i="5"/>
  <c r="X1519" i="5" s="1"/>
  <c r="V1520" i="5"/>
  <c r="E1520" i="5"/>
  <c r="X1520" i="5" s="1"/>
  <c r="V1521" i="5"/>
  <c r="E1521" i="5"/>
  <c r="X1521" i="5" s="1"/>
  <c r="V1522" i="5"/>
  <c r="E1522" i="5"/>
  <c r="X1522" i="5" s="1"/>
  <c r="V1523" i="5"/>
  <c r="E1523" i="5"/>
  <c r="X1523" i="5" s="1"/>
  <c r="V1524" i="5"/>
  <c r="E1524" i="5"/>
  <c r="X1524" i="5" s="1"/>
  <c r="V1525" i="5"/>
  <c r="E1525" i="5"/>
  <c r="X1525" i="5" s="1"/>
  <c r="V1526" i="5"/>
  <c r="E1526" i="5"/>
  <c r="X1526" i="5" s="1"/>
  <c r="V1527" i="5"/>
  <c r="E1527" i="5"/>
  <c r="X1527" i="5" s="1"/>
  <c r="V1528" i="5"/>
  <c r="E1528" i="5"/>
  <c r="X1528" i="5" s="1"/>
  <c r="V1529" i="5"/>
  <c r="E1529" i="5"/>
  <c r="X1529" i="5" s="1"/>
  <c r="V1530" i="5"/>
  <c r="E1530" i="5"/>
  <c r="X1530" i="5" s="1"/>
  <c r="V1531" i="5"/>
  <c r="E1531" i="5"/>
  <c r="X1531" i="5" s="1"/>
  <c r="V1532" i="5"/>
  <c r="E1532" i="5"/>
  <c r="X1532" i="5" s="1"/>
  <c r="V1533" i="5"/>
  <c r="E1533" i="5"/>
  <c r="X1533" i="5" s="1"/>
  <c r="V1534" i="5"/>
  <c r="E1534" i="5"/>
  <c r="X1534" i="5" s="1"/>
  <c r="V1535" i="5"/>
  <c r="E1535" i="5"/>
  <c r="X1535" i="5" s="1"/>
  <c r="V1536" i="5"/>
  <c r="E1536" i="5"/>
  <c r="X1536" i="5" s="1"/>
  <c r="V1537" i="5"/>
  <c r="E1537" i="5"/>
  <c r="X1537" i="5" s="1"/>
  <c r="V1538" i="5"/>
  <c r="E1538" i="5"/>
  <c r="X1538" i="5" s="1"/>
  <c r="V1539" i="5"/>
  <c r="E1539" i="5"/>
  <c r="X1539" i="5" s="1"/>
  <c r="V1540" i="5"/>
  <c r="E1540" i="5"/>
  <c r="X1540" i="5" s="1"/>
  <c r="V1541" i="5"/>
  <c r="E1541" i="5"/>
  <c r="X1541" i="5" s="1"/>
  <c r="V1542" i="5"/>
  <c r="E1542" i="5"/>
  <c r="X1542" i="5" s="1"/>
  <c r="V1543" i="5"/>
  <c r="E1543" i="5"/>
  <c r="X1543" i="5" s="1"/>
  <c r="V1544" i="5"/>
  <c r="E1544" i="5"/>
  <c r="X1544" i="5" s="1"/>
  <c r="V1545" i="5"/>
  <c r="E1545" i="5"/>
  <c r="X1545" i="5" s="1"/>
  <c r="V1546" i="5"/>
  <c r="E1546" i="5"/>
  <c r="X1546" i="5" s="1"/>
  <c r="V1547" i="5"/>
  <c r="E1547" i="5"/>
  <c r="X1547" i="5" s="1"/>
  <c r="V1548" i="5"/>
  <c r="E1548" i="5"/>
  <c r="X1548" i="5" s="1"/>
  <c r="V1549" i="5"/>
  <c r="E1549" i="5"/>
  <c r="X1549" i="5" s="1"/>
  <c r="V1550" i="5"/>
  <c r="E1550" i="5"/>
  <c r="X1550" i="5" s="1"/>
  <c r="V1551" i="5"/>
  <c r="E1551" i="5"/>
  <c r="X1551" i="5" s="1"/>
  <c r="V1552" i="5"/>
  <c r="E1552" i="5"/>
  <c r="X1552" i="5" s="1"/>
  <c r="V1553" i="5"/>
  <c r="E1553" i="5"/>
  <c r="X1553" i="5" s="1"/>
  <c r="V1554" i="5"/>
  <c r="E1554" i="5"/>
  <c r="X1554" i="5" s="1"/>
  <c r="V1555" i="5"/>
  <c r="E1555" i="5"/>
  <c r="X1555" i="5" s="1"/>
  <c r="V1556" i="5"/>
  <c r="E1556" i="5"/>
  <c r="X1556" i="5" s="1"/>
  <c r="V1557" i="5"/>
  <c r="E1557" i="5"/>
  <c r="X1557" i="5" s="1"/>
  <c r="V1558" i="5"/>
  <c r="E1558" i="5"/>
  <c r="X1558" i="5" s="1"/>
  <c r="V1559" i="5"/>
  <c r="E1559" i="5"/>
  <c r="X1559" i="5" s="1"/>
  <c r="V1560" i="5"/>
  <c r="E1560" i="5"/>
  <c r="X1560" i="5" s="1"/>
  <c r="V1561" i="5"/>
  <c r="E1561" i="5"/>
  <c r="X1561" i="5" s="1"/>
  <c r="V1562" i="5"/>
  <c r="E1562" i="5"/>
  <c r="X1562" i="5" s="1"/>
  <c r="V1563" i="5"/>
  <c r="E1563" i="5"/>
  <c r="X1563" i="5" s="1"/>
  <c r="V1564" i="5"/>
  <c r="E1564" i="5"/>
  <c r="X1564" i="5" s="1"/>
  <c r="V1565" i="5"/>
  <c r="E1565" i="5"/>
  <c r="X1565" i="5" s="1"/>
  <c r="V1566" i="5"/>
  <c r="E1566" i="5"/>
  <c r="X1566" i="5" s="1"/>
  <c r="V1567" i="5"/>
  <c r="E1567" i="5"/>
  <c r="X1567" i="5" s="1"/>
  <c r="V1568" i="5"/>
  <c r="E1568" i="5"/>
  <c r="X1568" i="5" s="1"/>
  <c r="V1569" i="5"/>
  <c r="E1569" i="5"/>
  <c r="X1569" i="5" s="1"/>
  <c r="V1570" i="5"/>
  <c r="E1570" i="5"/>
  <c r="X1570" i="5" s="1"/>
  <c r="V1571" i="5"/>
  <c r="E1571" i="5"/>
  <c r="X1571" i="5" s="1"/>
  <c r="V1572" i="5"/>
  <c r="E1572" i="5"/>
  <c r="X1572" i="5" s="1"/>
  <c r="V1573" i="5"/>
  <c r="E1573" i="5"/>
  <c r="X1573" i="5" s="1"/>
  <c r="V1574" i="5"/>
  <c r="E1574" i="5"/>
  <c r="X1574" i="5" s="1"/>
  <c r="V1575" i="5"/>
  <c r="E1575" i="5"/>
  <c r="X1575" i="5" s="1"/>
  <c r="V1576" i="5"/>
  <c r="E1576" i="5"/>
  <c r="X1576" i="5" s="1"/>
  <c r="V1577" i="5"/>
  <c r="E1577" i="5"/>
  <c r="X1577" i="5" s="1"/>
  <c r="V1578" i="5"/>
  <c r="E1578" i="5"/>
  <c r="X1578" i="5" s="1"/>
  <c r="V1579" i="5"/>
  <c r="E1579" i="5"/>
  <c r="X1579" i="5" s="1"/>
  <c r="V1580" i="5"/>
  <c r="E1580" i="5"/>
  <c r="X1580" i="5" s="1"/>
  <c r="V1581" i="5"/>
  <c r="E1581" i="5"/>
  <c r="X1581" i="5" s="1"/>
  <c r="V1582" i="5"/>
  <c r="E1582" i="5"/>
  <c r="X1582" i="5" s="1"/>
  <c r="V1583" i="5"/>
  <c r="E1583" i="5"/>
  <c r="X1583" i="5" s="1"/>
  <c r="V1584" i="5"/>
  <c r="E1584" i="5"/>
  <c r="X1584" i="5" s="1"/>
  <c r="V1585" i="5"/>
  <c r="E1585" i="5"/>
  <c r="X1585" i="5" s="1"/>
  <c r="V1586" i="5"/>
  <c r="E1586" i="5"/>
  <c r="X1586" i="5" s="1"/>
  <c r="V1587" i="5"/>
  <c r="E1587" i="5"/>
  <c r="X1587" i="5" s="1"/>
  <c r="V1588" i="5"/>
  <c r="E1588" i="5"/>
  <c r="X1588" i="5" s="1"/>
  <c r="V1589" i="5"/>
  <c r="E1589" i="5"/>
  <c r="X1589" i="5" s="1"/>
  <c r="V1590" i="5"/>
  <c r="E1590" i="5"/>
  <c r="X1590" i="5" s="1"/>
  <c r="V1591" i="5"/>
  <c r="E1591" i="5"/>
  <c r="X1591" i="5" s="1"/>
  <c r="V1592" i="5"/>
  <c r="E1592" i="5"/>
  <c r="X1592" i="5" s="1"/>
  <c r="V1593" i="5"/>
  <c r="E1593" i="5"/>
  <c r="X1593" i="5" s="1"/>
  <c r="V1594" i="5"/>
  <c r="E1594" i="5"/>
  <c r="X1594" i="5" s="1"/>
  <c r="V1595" i="5"/>
  <c r="E1595" i="5"/>
  <c r="X1595" i="5" s="1"/>
  <c r="V1596" i="5"/>
  <c r="E1596" i="5"/>
  <c r="X1596" i="5" s="1"/>
  <c r="V1597" i="5"/>
  <c r="E1597" i="5"/>
  <c r="X1597" i="5" s="1"/>
  <c r="V1598" i="5"/>
  <c r="E1598" i="5"/>
  <c r="X1598" i="5" s="1"/>
  <c r="V1599" i="5"/>
  <c r="E1599" i="5"/>
  <c r="X1599" i="5" s="1"/>
  <c r="V1600" i="5"/>
  <c r="E1600" i="5"/>
  <c r="X1600" i="5" s="1"/>
  <c r="V1601" i="5"/>
  <c r="E1601" i="5"/>
  <c r="X1601" i="5" s="1"/>
  <c r="V1602" i="5"/>
  <c r="E1602" i="5"/>
  <c r="X1602" i="5" s="1"/>
  <c r="V1603" i="5"/>
  <c r="E1603" i="5"/>
  <c r="X1603" i="5" s="1"/>
  <c r="V1604" i="5"/>
  <c r="E1604" i="5"/>
  <c r="X1604" i="5" s="1"/>
  <c r="V1605" i="5"/>
  <c r="E1605" i="5"/>
  <c r="X1605" i="5" s="1"/>
  <c r="V1606" i="5"/>
  <c r="E1606" i="5"/>
  <c r="X1606" i="5" s="1"/>
  <c r="V1607" i="5"/>
  <c r="E1607" i="5"/>
  <c r="X1607" i="5" s="1"/>
  <c r="V1608" i="5"/>
  <c r="E1608" i="5"/>
  <c r="X1608" i="5" s="1"/>
  <c r="V1609" i="5"/>
  <c r="E1609" i="5"/>
  <c r="X1609" i="5" s="1"/>
  <c r="V1610" i="5"/>
  <c r="E1610" i="5"/>
  <c r="X1610" i="5" s="1"/>
  <c r="V1611" i="5"/>
  <c r="E1611" i="5"/>
  <c r="X1611" i="5" s="1"/>
  <c r="V1612" i="5"/>
  <c r="E1612" i="5"/>
  <c r="X1612" i="5" s="1"/>
  <c r="V1613" i="5"/>
  <c r="E1613" i="5"/>
  <c r="X1613" i="5" s="1"/>
  <c r="V1614" i="5"/>
  <c r="E1614" i="5"/>
  <c r="X1614" i="5" s="1"/>
  <c r="V1615" i="5"/>
  <c r="E1615" i="5"/>
  <c r="X1615" i="5" s="1"/>
  <c r="V1616" i="5"/>
  <c r="E1616" i="5"/>
  <c r="X1616" i="5" s="1"/>
  <c r="V1617" i="5"/>
  <c r="E1617" i="5"/>
  <c r="X1617" i="5" s="1"/>
  <c r="V1618" i="5"/>
  <c r="E1618" i="5"/>
  <c r="X1618" i="5" s="1"/>
  <c r="V1619" i="5"/>
  <c r="E1619" i="5"/>
  <c r="X1619" i="5" s="1"/>
  <c r="V1620" i="5"/>
  <c r="E1620" i="5"/>
  <c r="X1620" i="5" s="1"/>
  <c r="V1621" i="5"/>
  <c r="E1621" i="5"/>
  <c r="X1621" i="5" s="1"/>
  <c r="V1622" i="5"/>
  <c r="E1622" i="5"/>
  <c r="X1622" i="5" s="1"/>
  <c r="V1623" i="5"/>
  <c r="E1623" i="5"/>
  <c r="X1623" i="5" s="1"/>
  <c r="V1624" i="5"/>
  <c r="E1624" i="5"/>
  <c r="X1624" i="5" s="1"/>
  <c r="V1625" i="5"/>
  <c r="E1625" i="5"/>
  <c r="X1625" i="5" s="1"/>
  <c r="V1626" i="5"/>
  <c r="E1626" i="5"/>
  <c r="X1626" i="5" s="1"/>
  <c r="V1627" i="5"/>
  <c r="E1627" i="5"/>
  <c r="X1627" i="5" s="1"/>
  <c r="V1628" i="5"/>
  <c r="E1628" i="5"/>
  <c r="X1628" i="5" s="1"/>
  <c r="V1629" i="5"/>
  <c r="E1629" i="5"/>
  <c r="X1629" i="5" s="1"/>
  <c r="V1630" i="5"/>
  <c r="E1630" i="5"/>
  <c r="X1630" i="5" s="1"/>
  <c r="V1631" i="5"/>
  <c r="E1631" i="5"/>
  <c r="X1631" i="5" s="1"/>
  <c r="V1632" i="5"/>
  <c r="E1632" i="5"/>
  <c r="X1632" i="5" s="1"/>
  <c r="V1633" i="5"/>
  <c r="E1633" i="5"/>
  <c r="X1633" i="5" s="1"/>
  <c r="V1634" i="5"/>
  <c r="E1634" i="5"/>
  <c r="X1634" i="5" s="1"/>
  <c r="V1635" i="5"/>
  <c r="E1635" i="5"/>
  <c r="X1635" i="5" s="1"/>
  <c r="V1636" i="5"/>
  <c r="E1636" i="5"/>
  <c r="X1636" i="5" s="1"/>
  <c r="V1637" i="5"/>
  <c r="E1637" i="5"/>
  <c r="X1637" i="5" s="1"/>
  <c r="V1638" i="5"/>
  <c r="E1638" i="5"/>
  <c r="X1638" i="5" s="1"/>
  <c r="V1639" i="5"/>
  <c r="E1639" i="5"/>
  <c r="X1639" i="5" s="1"/>
  <c r="V1640" i="5"/>
  <c r="E1640" i="5"/>
  <c r="X1640" i="5" s="1"/>
  <c r="V1641" i="5"/>
  <c r="E1641" i="5"/>
  <c r="X1641" i="5" s="1"/>
  <c r="V1642" i="5"/>
  <c r="E1642" i="5"/>
  <c r="X1642" i="5" s="1"/>
  <c r="V1643" i="5"/>
  <c r="E1643" i="5"/>
  <c r="X1643" i="5" s="1"/>
  <c r="V1644" i="5"/>
  <c r="E1644" i="5"/>
  <c r="X1644" i="5" s="1"/>
  <c r="V1645" i="5"/>
  <c r="E1645" i="5"/>
  <c r="X1645" i="5" s="1"/>
  <c r="V1646" i="5"/>
  <c r="E1646" i="5"/>
  <c r="X1646" i="5" s="1"/>
  <c r="V1647" i="5"/>
  <c r="E1647" i="5"/>
  <c r="X1647" i="5" s="1"/>
  <c r="V1648" i="5"/>
  <c r="E1648" i="5"/>
  <c r="X1648" i="5" s="1"/>
  <c r="V1649" i="5"/>
  <c r="E1649" i="5"/>
  <c r="X1649" i="5" s="1"/>
  <c r="V1650" i="5"/>
  <c r="E1650" i="5"/>
  <c r="X1650" i="5" s="1"/>
  <c r="V1651" i="5"/>
  <c r="E1651" i="5"/>
  <c r="X1651" i="5" s="1"/>
  <c r="V1652" i="5"/>
  <c r="E1652" i="5"/>
  <c r="X1652" i="5" s="1"/>
  <c r="V1653" i="5"/>
  <c r="E1653" i="5"/>
  <c r="X1653" i="5" s="1"/>
  <c r="V1654" i="5"/>
  <c r="E1654" i="5"/>
  <c r="X1654" i="5" s="1"/>
  <c r="V1655" i="5"/>
  <c r="E1655" i="5"/>
  <c r="X1655" i="5" s="1"/>
  <c r="V1656" i="5"/>
  <c r="E1656" i="5"/>
  <c r="X1656" i="5" s="1"/>
  <c r="V1657" i="5"/>
  <c r="E1657" i="5"/>
  <c r="X1657" i="5" s="1"/>
  <c r="V1658" i="5"/>
  <c r="E1658" i="5"/>
  <c r="X1658" i="5" s="1"/>
  <c r="V1659" i="5"/>
  <c r="E1659" i="5"/>
  <c r="X1659" i="5" s="1"/>
  <c r="V1660" i="5"/>
  <c r="E1660" i="5"/>
  <c r="X1660" i="5" s="1"/>
  <c r="V1661" i="5"/>
  <c r="E1661" i="5"/>
  <c r="X1661" i="5" s="1"/>
  <c r="V1662" i="5"/>
  <c r="E1662" i="5"/>
  <c r="X1662" i="5" s="1"/>
  <c r="V1663" i="5"/>
  <c r="E1663" i="5"/>
  <c r="X1663" i="5" s="1"/>
  <c r="V1664" i="5"/>
  <c r="E1664" i="5"/>
  <c r="X1664" i="5" s="1"/>
  <c r="V1665" i="5"/>
  <c r="E1665" i="5"/>
  <c r="X1665" i="5" s="1"/>
  <c r="V1666" i="5"/>
  <c r="E1666" i="5"/>
  <c r="X1666" i="5" s="1"/>
  <c r="V1667" i="5"/>
  <c r="E1667" i="5"/>
  <c r="X1667" i="5" s="1"/>
  <c r="V1668" i="5"/>
  <c r="E1668" i="5"/>
  <c r="X1668" i="5" s="1"/>
  <c r="V1669" i="5"/>
  <c r="E1669" i="5"/>
  <c r="X1669" i="5" s="1"/>
  <c r="V1670" i="5"/>
  <c r="E1670" i="5"/>
  <c r="X1670" i="5" s="1"/>
  <c r="V1671" i="5"/>
  <c r="E1671" i="5"/>
  <c r="X1671" i="5" s="1"/>
  <c r="V1672" i="5"/>
  <c r="E1672" i="5"/>
  <c r="X1672" i="5" s="1"/>
  <c r="V1673" i="5"/>
  <c r="E1673" i="5"/>
  <c r="X1673" i="5" s="1"/>
  <c r="V1674" i="5"/>
  <c r="E1674" i="5"/>
  <c r="X1674" i="5" s="1"/>
  <c r="V1675" i="5"/>
  <c r="E1675" i="5"/>
  <c r="X1675" i="5" s="1"/>
  <c r="V1676" i="5"/>
  <c r="E1676" i="5"/>
  <c r="X1676" i="5" s="1"/>
  <c r="V1677" i="5"/>
  <c r="E1677" i="5"/>
  <c r="X1677" i="5" s="1"/>
  <c r="V1678" i="5"/>
  <c r="E1678" i="5"/>
  <c r="X1678" i="5" s="1"/>
  <c r="V1679" i="5"/>
  <c r="E1679" i="5"/>
  <c r="X1679" i="5" s="1"/>
  <c r="V1680" i="5"/>
  <c r="E1680" i="5"/>
  <c r="X1680" i="5" s="1"/>
  <c r="V1681" i="5"/>
  <c r="E1681" i="5"/>
  <c r="X1681" i="5" s="1"/>
  <c r="V1682" i="5"/>
  <c r="E1682" i="5"/>
  <c r="X1682" i="5" s="1"/>
  <c r="V1683" i="5"/>
  <c r="E1683" i="5"/>
  <c r="X1683" i="5" s="1"/>
  <c r="V1684" i="5"/>
  <c r="E1684" i="5"/>
  <c r="X1684" i="5" s="1"/>
  <c r="V1685" i="5"/>
  <c r="E1685" i="5"/>
  <c r="X1685" i="5" s="1"/>
  <c r="V1686" i="5"/>
  <c r="E1686" i="5"/>
  <c r="X1686" i="5" s="1"/>
  <c r="V1687" i="5"/>
  <c r="E1687" i="5"/>
  <c r="X1687" i="5" s="1"/>
  <c r="V1688" i="5"/>
  <c r="E1688" i="5"/>
  <c r="X1688" i="5" s="1"/>
  <c r="V1689" i="5"/>
  <c r="E1689" i="5"/>
  <c r="X1689" i="5" s="1"/>
  <c r="V1690" i="5"/>
  <c r="E1690" i="5"/>
  <c r="X1690" i="5" s="1"/>
  <c r="V1691" i="5"/>
  <c r="E1691" i="5"/>
  <c r="X1691" i="5" s="1"/>
  <c r="V1692" i="5"/>
  <c r="E1692" i="5"/>
  <c r="X1692" i="5" s="1"/>
  <c r="V1693" i="5"/>
  <c r="E1693" i="5"/>
  <c r="X1693" i="5" s="1"/>
  <c r="V1694" i="5"/>
  <c r="E1694" i="5"/>
  <c r="X1694" i="5" s="1"/>
  <c r="V1695" i="5"/>
  <c r="E1695" i="5"/>
  <c r="X1695" i="5" s="1"/>
  <c r="V1696" i="5"/>
  <c r="E1696" i="5"/>
  <c r="X1696" i="5" s="1"/>
  <c r="V1697" i="5"/>
  <c r="E1697" i="5"/>
  <c r="X1697" i="5" s="1"/>
  <c r="V1698" i="5"/>
  <c r="E1698" i="5"/>
  <c r="X1698" i="5" s="1"/>
  <c r="V1699" i="5"/>
  <c r="E1699" i="5"/>
  <c r="X1699" i="5" s="1"/>
  <c r="V1700" i="5"/>
  <c r="E1700" i="5"/>
  <c r="X1700" i="5" s="1"/>
  <c r="V1701" i="5"/>
  <c r="E1701" i="5"/>
  <c r="X1701" i="5" s="1"/>
  <c r="V1702" i="5"/>
  <c r="E1702" i="5"/>
  <c r="X1702" i="5" s="1"/>
  <c r="V1703" i="5"/>
  <c r="E1703" i="5"/>
  <c r="X1703" i="5" s="1"/>
  <c r="V1704" i="5"/>
  <c r="E1704" i="5"/>
  <c r="X1704" i="5" s="1"/>
  <c r="V1705" i="5"/>
  <c r="E1705" i="5"/>
  <c r="X1705" i="5" s="1"/>
  <c r="V1706" i="5"/>
  <c r="E1706" i="5"/>
  <c r="X1706" i="5" s="1"/>
  <c r="V1707" i="5"/>
  <c r="E1707" i="5"/>
  <c r="X1707" i="5" s="1"/>
  <c r="V1708" i="5"/>
  <c r="E1708" i="5"/>
  <c r="X1708" i="5" s="1"/>
  <c r="V1709" i="5"/>
  <c r="E1709" i="5"/>
  <c r="X1709" i="5" s="1"/>
  <c r="V1710" i="5"/>
  <c r="E1710" i="5"/>
  <c r="X1710" i="5" s="1"/>
  <c r="V1711" i="5"/>
  <c r="E1711" i="5"/>
  <c r="X1711" i="5" s="1"/>
  <c r="V1712" i="5"/>
  <c r="E1712" i="5"/>
  <c r="X1712" i="5" s="1"/>
  <c r="V1713" i="5"/>
  <c r="E1713" i="5"/>
  <c r="X1713" i="5" s="1"/>
  <c r="V1714" i="5"/>
  <c r="E1714" i="5"/>
  <c r="X1714" i="5" s="1"/>
  <c r="V1715" i="5"/>
  <c r="E1715" i="5"/>
  <c r="X1715" i="5" s="1"/>
  <c r="V1716" i="5"/>
  <c r="E1716" i="5"/>
  <c r="X1716" i="5" s="1"/>
  <c r="V1717" i="5"/>
  <c r="E1717" i="5"/>
  <c r="X1717" i="5" s="1"/>
  <c r="V1718" i="5"/>
  <c r="E1718" i="5"/>
  <c r="X1718" i="5" s="1"/>
  <c r="V1719" i="5"/>
  <c r="E1719" i="5"/>
  <c r="X1719" i="5" s="1"/>
  <c r="V1720" i="5"/>
  <c r="E1720" i="5"/>
  <c r="X1720" i="5" s="1"/>
  <c r="V1721" i="5"/>
  <c r="E1721" i="5"/>
  <c r="X1721" i="5" s="1"/>
  <c r="V1722" i="5"/>
  <c r="E1722" i="5"/>
  <c r="X1722" i="5" s="1"/>
  <c r="V1723" i="5"/>
  <c r="E1723" i="5"/>
  <c r="X1723" i="5" s="1"/>
  <c r="V1724" i="5"/>
  <c r="E1724" i="5"/>
  <c r="X1724" i="5" s="1"/>
  <c r="V1725" i="5"/>
  <c r="E1725" i="5"/>
  <c r="X1725" i="5" s="1"/>
  <c r="V1726" i="5"/>
  <c r="E1726" i="5"/>
  <c r="X1726" i="5" s="1"/>
  <c r="V1727" i="5"/>
  <c r="E1727" i="5"/>
  <c r="X1727" i="5" s="1"/>
  <c r="V1728" i="5"/>
  <c r="E1728" i="5"/>
  <c r="X1728" i="5" s="1"/>
  <c r="V1729" i="5"/>
  <c r="E1729" i="5"/>
  <c r="X1729" i="5" s="1"/>
  <c r="V1730" i="5"/>
  <c r="E1730" i="5"/>
  <c r="X1730" i="5" s="1"/>
  <c r="V1731" i="5"/>
  <c r="E1731" i="5"/>
  <c r="X1731" i="5" s="1"/>
  <c r="V1732" i="5"/>
  <c r="E1732" i="5"/>
  <c r="X1732" i="5" s="1"/>
  <c r="V1733" i="5"/>
  <c r="E1733" i="5"/>
  <c r="X1733" i="5" s="1"/>
  <c r="V1734" i="5"/>
  <c r="E1734" i="5"/>
  <c r="X1734" i="5" s="1"/>
  <c r="V1735" i="5"/>
  <c r="E1735" i="5"/>
  <c r="X1735" i="5" s="1"/>
  <c r="V1736" i="5"/>
  <c r="E1736" i="5"/>
  <c r="X1736" i="5" s="1"/>
  <c r="V1737" i="5"/>
  <c r="E1737" i="5"/>
  <c r="X1737" i="5" s="1"/>
  <c r="V1738" i="5"/>
  <c r="E1738" i="5"/>
  <c r="X1738" i="5" s="1"/>
  <c r="V1739" i="5"/>
  <c r="E1739" i="5"/>
  <c r="X1739" i="5" s="1"/>
  <c r="V1740" i="5"/>
  <c r="E1740" i="5"/>
  <c r="X1740" i="5" s="1"/>
  <c r="V1741" i="5"/>
  <c r="E1741" i="5"/>
  <c r="X1741" i="5" s="1"/>
  <c r="V1742" i="5"/>
  <c r="E1742" i="5"/>
  <c r="X1742" i="5" s="1"/>
  <c r="V1743" i="5"/>
  <c r="E1743" i="5"/>
  <c r="X1743" i="5" s="1"/>
  <c r="V1744" i="5"/>
  <c r="E1744" i="5"/>
  <c r="X1744" i="5" s="1"/>
  <c r="V1745" i="5"/>
  <c r="E1745" i="5"/>
  <c r="X1745" i="5" s="1"/>
  <c r="V1746" i="5"/>
  <c r="E1746" i="5"/>
  <c r="X1746" i="5" s="1"/>
  <c r="V1747" i="5"/>
  <c r="E1747" i="5"/>
  <c r="X1747" i="5" s="1"/>
  <c r="V1748" i="5"/>
  <c r="E1748" i="5"/>
  <c r="X1748" i="5" s="1"/>
  <c r="V1749" i="5"/>
  <c r="E1749" i="5"/>
  <c r="X1749" i="5" s="1"/>
  <c r="V1750" i="5"/>
  <c r="E1750" i="5"/>
  <c r="X1750" i="5" s="1"/>
  <c r="V1751" i="5"/>
  <c r="E1751" i="5"/>
  <c r="X1751" i="5" s="1"/>
  <c r="V1752" i="5"/>
  <c r="E1752" i="5"/>
  <c r="X1752" i="5" s="1"/>
  <c r="V1753" i="5"/>
  <c r="E1753" i="5"/>
  <c r="X1753" i="5" s="1"/>
  <c r="V1754" i="5"/>
  <c r="E1754" i="5"/>
  <c r="X1754" i="5" s="1"/>
  <c r="V1755" i="5"/>
  <c r="E1755" i="5"/>
  <c r="X1755" i="5" s="1"/>
  <c r="V1756" i="5"/>
  <c r="E1756" i="5"/>
  <c r="X1756" i="5" s="1"/>
  <c r="V1757" i="5"/>
  <c r="E1757" i="5"/>
  <c r="X1757" i="5" s="1"/>
  <c r="V1758" i="5"/>
  <c r="E1758" i="5"/>
  <c r="X1758" i="5" s="1"/>
  <c r="V1759" i="5"/>
  <c r="E1759" i="5"/>
  <c r="X1759" i="5" s="1"/>
  <c r="V1760" i="5"/>
  <c r="E1760" i="5"/>
  <c r="X1760" i="5" s="1"/>
  <c r="V1761" i="5"/>
  <c r="E1761" i="5"/>
  <c r="X1761" i="5" s="1"/>
  <c r="V1762" i="5"/>
  <c r="E1762" i="5"/>
  <c r="X1762" i="5" s="1"/>
  <c r="V1763" i="5"/>
  <c r="E1763" i="5"/>
  <c r="X1763" i="5" s="1"/>
  <c r="V1764" i="5"/>
  <c r="E1764" i="5"/>
  <c r="X1764" i="5" s="1"/>
  <c r="V1765" i="5"/>
  <c r="E1765" i="5"/>
  <c r="X1765" i="5" s="1"/>
  <c r="V1766" i="5"/>
  <c r="E1766" i="5"/>
  <c r="X1766" i="5" s="1"/>
  <c r="V1767" i="5"/>
  <c r="E1767" i="5"/>
  <c r="X1767" i="5" s="1"/>
  <c r="V1768" i="5"/>
  <c r="E1768" i="5"/>
  <c r="X1768" i="5" s="1"/>
  <c r="V1769" i="5"/>
  <c r="E1769" i="5"/>
  <c r="X1769" i="5" s="1"/>
  <c r="V1770" i="5"/>
  <c r="E1770" i="5"/>
  <c r="X1770" i="5" s="1"/>
  <c r="V1771" i="5"/>
  <c r="E1771" i="5"/>
  <c r="X1771" i="5" s="1"/>
  <c r="V1772" i="5"/>
  <c r="E1772" i="5"/>
  <c r="X1772" i="5" s="1"/>
  <c r="V1773" i="5"/>
  <c r="E1773" i="5"/>
  <c r="X1773" i="5" s="1"/>
  <c r="V1774" i="5"/>
  <c r="E1774" i="5"/>
  <c r="X1774" i="5" s="1"/>
  <c r="V1775" i="5"/>
  <c r="E1775" i="5"/>
  <c r="X1775" i="5" s="1"/>
  <c r="V1776" i="5"/>
  <c r="E1776" i="5"/>
  <c r="X1776" i="5" s="1"/>
  <c r="V1777" i="5"/>
  <c r="E1777" i="5"/>
  <c r="X1777" i="5" s="1"/>
  <c r="V1778" i="5"/>
  <c r="E1778" i="5"/>
  <c r="X1778" i="5" s="1"/>
  <c r="V1779" i="5"/>
  <c r="E1779" i="5"/>
  <c r="X1779" i="5" s="1"/>
  <c r="V1780" i="5"/>
  <c r="E1780" i="5"/>
  <c r="X1780" i="5" s="1"/>
  <c r="V1781" i="5"/>
  <c r="E1781" i="5"/>
  <c r="X1781" i="5" s="1"/>
  <c r="V1782" i="5"/>
  <c r="E1782" i="5"/>
  <c r="X1782" i="5" s="1"/>
  <c r="V1783" i="5"/>
  <c r="E1783" i="5"/>
  <c r="X1783" i="5" s="1"/>
  <c r="V1784" i="5"/>
  <c r="E1784" i="5"/>
  <c r="X1784" i="5" s="1"/>
  <c r="V1785" i="5"/>
  <c r="E1785" i="5"/>
  <c r="X1785" i="5" s="1"/>
  <c r="V1786" i="5"/>
  <c r="E1786" i="5"/>
  <c r="X1786" i="5" s="1"/>
  <c r="V1787" i="5"/>
  <c r="E1787" i="5"/>
  <c r="X1787" i="5" s="1"/>
  <c r="V1788" i="5"/>
  <c r="E1788" i="5"/>
  <c r="X1788" i="5" s="1"/>
  <c r="V1789" i="5"/>
  <c r="E1789" i="5"/>
  <c r="X1789" i="5" s="1"/>
  <c r="V1790" i="5"/>
  <c r="E1790" i="5"/>
  <c r="X1790" i="5" s="1"/>
  <c r="V1791" i="5"/>
  <c r="E1791" i="5"/>
  <c r="X1791" i="5" s="1"/>
  <c r="V1792" i="5"/>
  <c r="E1792" i="5"/>
  <c r="X1792" i="5" s="1"/>
  <c r="V1793" i="5"/>
  <c r="E1793" i="5"/>
  <c r="X1793" i="5" s="1"/>
  <c r="V1794" i="5"/>
  <c r="E1794" i="5"/>
  <c r="X1794" i="5" s="1"/>
  <c r="V1795" i="5"/>
  <c r="E1795" i="5"/>
  <c r="X1795" i="5" s="1"/>
  <c r="V1796" i="5"/>
  <c r="E1796" i="5"/>
  <c r="X1796" i="5" s="1"/>
  <c r="V1797" i="5"/>
  <c r="E1797" i="5"/>
  <c r="X1797" i="5" s="1"/>
  <c r="V1798" i="5"/>
  <c r="E1798" i="5"/>
  <c r="X1798" i="5" s="1"/>
  <c r="V1799" i="5"/>
  <c r="E1799" i="5"/>
  <c r="X1799" i="5" s="1"/>
  <c r="V1800" i="5"/>
  <c r="E1800" i="5"/>
  <c r="X1800" i="5" s="1"/>
  <c r="V1801" i="5"/>
  <c r="E1801" i="5"/>
  <c r="X1801" i="5" s="1"/>
  <c r="V1802" i="5"/>
  <c r="E1802" i="5"/>
  <c r="X1802" i="5" s="1"/>
  <c r="V1803" i="5"/>
  <c r="E1803" i="5"/>
  <c r="X1803" i="5" s="1"/>
  <c r="V1804" i="5"/>
  <c r="E1804" i="5"/>
  <c r="X1804" i="5" s="1"/>
  <c r="V1805" i="5"/>
  <c r="E1805" i="5"/>
  <c r="X1805" i="5" s="1"/>
  <c r="V1806" i="5"/>
  <c r="E1806" i="5"/>
  <c r="X1806" i="5" s="1"/>
  <c r="V1807" i="5"/>
  <c r="E1807" i="5"/>
  <c r="X1807" i="5" s="1"/>
  <c r="V1808" i="5"/>
  <c r="E1808" i="5"/>
  <c r="X1808" i="5" s="1"/>
  <c r="V1809" i="5"/>
  <c r="E1809" i="5"/>
  <c r="X1809" i="5" s="1"/>
  <c r="V1810" i="5"/>
  <c r="E1810" i="5"/>
  <c r="X1810" i="5" s="1"/>
  <c r="V1811" i="5"/>
  <c r="E1811" i="5"/>
  <c r="X1811" i="5" s="1"/>
  <c r="V1812" i="5"/>
  <c r="E1812" i="5"/>
  <c r="X1812" i="5" s="1"/>
  <c r="V1813" i="5"/>
  <c r="E1813" i="5"/>
  <c r="X1813" i="5" s="1"/>
  <c r="V1814" i="5"/>
  <c r="E1814" i="5"/>
  <c r="X1814" i="5" s="1"/>
  <c r="V1815" i="5"/>
  <c r="E1815" i="5"/>
  <c r="X1815" i="5" s="1"/>
  <c r="V1816" i="5"/>
  <c r="E1816" i="5"/>
  <c r="X1816" i="5" s="1"/>
  <c r="V1817" i="5"/>
  <c r="E1817" i="5"/>
  <c r="X1817" i="5" s="1"/>
  <c r="V1818" i="5"/>
  <c r="E1818" i="5"/>
  <c r="X1818" i="5" s="1"/>
  <c r="V1819" i="5"/>
  <c r="E1819" i="5"/>
  <c r="X1819" i="5" s="1"/>
  <c r="V1820" i="5"/>
  <c r="E1820" i="5"/>
  <c r="X1820" i="5" s="1"/>
  <c r="V1821" i="5"/>
  <c r="E1821" i="5"/>
  <c r="X1821" i="5" s="1"/>
  <c r="V1822" i="5"/>
  <c r="E1822" i="5"/>
  <c r="X1822" i="5" s="1"/>
  <c r="V1823" i="5"/>
  <c r="E1823" i="5"/>
  <c r="X1823" i="5" s="1"/>
  <c r="V1824" i="5"/>
  <c r="E1824" i="5"/>
  <c r="X1824" i="5" s="1"/>
  <c r="V1825" i="5"/>
  <c r="E1825" i="5"/>
  <c r="X1825" i="5" s="1"/>
  <c r="V1826" i="5"/>
  <c r="E1826" i="5"/>
  <c r="X1826" i="5" s="1"/>
  <c r="V1827" i="5"/>
  <c r="E1827" i="5"/>
  <c r="X1827" i="5" s="1"/>
  <c r="V1828" i="5"/>
  <c r="E1828" i="5"/>
  <c r="X1828" i="5" s="1"/>
  <c r="V1829" i="5"/>
  <c r="E1829" i="5"/>
  <c r="X1829" i="5" s="1"/>
  <c r="V1830" i="5"/>
  <c r="E1830" i="5"/>
  <c r="X1830" i="5" s="1"/>
  <c r="V1831" i="5"/>
  <c r="E1831" i="5"/>
  <c r="X1831" i="5" s="1"/>
  <c r="V1832" i="5"/>
  <c r="E1832" i="5"/>
  <c r="X1832" i="5" s="1"/>
  <c r="V1833" i="5"/>
  <c r="E1833" i="5"/>
  <c r="X1833" i="5" s="1"/>
  <c r="V1834" i="5"/>
  <c r="E1834" i="5"/>
  <c r="X1834" i="5" s="1"/>
  <c r="V1835" i="5"/>
  <c r="E1835" i="5"/>
  <c r="X1835" i="5" s="1"/>
  <c r="V1836" i="5"/>
  <c r="E1836" i="5"/>
  <c r="X1836" i="5" s="1"/>
  <c r="V1837" i="5"/>
  <c r="E1837" i="5"/>
  <c r="X1837" i="5" s="1"/>
  <c r="V1838" i="5"/>
  <c r="E1838" i="5"/>
  <c r="X1838" i="5" s="1"/>
  <c r="V1839" i="5"/>
  <c r="E1839" i="5"/>
  <c r="X1839" i="5" s="1"/>
  <c r="V1840" i="5"/>
  <c r="E1840" i="5"/>
  <c r="X1840" i="5" s="1"/>
  <c r="V1841" i="5"/>
  <c r="E1841" i="5"/>
  <c r="X1841" i="5" s="1"/>
  <c r="V1842" i="5"/>
  <c r="E1842" i="5"/>
  <c r="X1842" i="5" s="1"/>
  <c r="V1843" i="5"/>
  <c r="E1843" i="5"/>
  <c r="X1843" i="5" s="1"/>
  <c r="V1844" i="5"/>
  <c r="E1844" i="5"/>
  <c r="X1844" i="5" s="1"/>
  <c r="V1845" i="5"/>
  <c r="E1845" i="5"/>
  <c r="X1845" i="5" s="1"/>
  <c r="V1846" i="5"/>
  <c r="E1846" i="5"/>
  <c r="X1846" i="5" s="1"/>
  <c r="V1847" i="5"/>
  <c r="E1847" i="5"/>
  <c r="X1847" i="5" s="1"/>
  <c r="V1848" i="5"/>
  <c r="E1848" i="5"/>
  <c r="X1848" i="5" s="1"/>
  <c r="V1849" i="5"/>
  <c r="E1849" i="5"/>
  <c r="X1849" i="5" s="1"/>
  <c r="V1850" i="5"/>
  <c r="E1850" i="5"/>
  <c r="X1850" i="5" s="1"/>
  <c r="V1851" i="5"/>
  <c r="E1851" i="5"/>
  <c r="X1851" i="5" s="1"/>
  <c r="V1852" i="5"/>
  <c r="E1852" i="5"/>
  <c r="X1852" i="5" s="1"/>
  <c r="V1853" i="5"/>
  <c r="E1853" i="5"/>
  <c r="X1853" i="5" s="1"/>
  <c r="V1854" i="5"/>
  <c r="E1854" i="5"/>
  <c r="X1854" i="5" s="1"/>
  <c r="V1855" i="5"/>
  <c r="E1855" i="5"/>
  <c r="X1855" i="5" s="1"/>
  <c r="V1856" i="5"/>
  <c r="E1856" i="5"/>
  <c r="X1856" i="5" s="1"/>
  <c r="V1857" i="5"/>
  <c r="E1857" i="5"/>
  <c r="X1857" i="5" s="1"/>
  <c r="V1858" i="5"/>
  <c r="E1858" i="5"/>
  <c r="X1858" i="5" s="1"/>
  <c r="V1859" i="5"/>
  <c r="E1859" i="5"/>
  <c r="X1859" i="5" s="1"/>
  <c r="V1860" i="5"/>
  <c r="E1860" i="5"/>
  <c r="X1860" i="5" s="1"/>
  <c r="V1861" i="5"/>
  <c r="E1861" i="5"/>
  <c r="X1861" i="5" s="1"/>
  <c r="V1862" i="5"/>
  <c r="E1862" i="5"/>
  <c r="X1862" i="5" s="1"/>
  <c r="V1863" i="5"/>
  <c r="E1863" i="5"/>
  <c r="X1863" i="5" s="1"/>
  <c r="V1864" i="5"/>
  <c r="E1864" i="5"/>
  <c r="X1864" i="5" s="1"/>
  <c r="V1865" i="5"/>
  <c r="E1865" i="5"/>
  <c r="X1865" i="5" s="1"/>
  <c r="V1866" i="5"/>
  <c r="E1866" i="5"/>
  <c r="X1866" i="5" s="1"/>
  <c r="V1867" i="5"/>
  <c r="E1867" i="5"/>
  <c r="X1867" i="5" s="1"/>
  <c r="V1868" i="5"/>
  <c r="E1868" i="5"/>
  <c r="X1868" i="5" s="1"/>
  <c r="V1869" i="5"/>
  <c r="E1869" i="5"/>
  <c r="X1869" i="5" s="1"/>
  <c r="V1870" i="5"/>
  <c r="E1870" i="5"/>
  <c r="X1870" i="5" s="1"/>
  <c r="V1871" i="5"/>
  <c r="E1871" i="5"/>
  <c r="X1871" i="5" s="1"/>
  <c r="V1872" i="5"/>
  <c r="E1872" i="5"/>
  <c r="X1872" i="5" s="1"/>
  <c r="V1873" i="5"/>
  <c r="E1873" i="5"/>
  <c r="X1873" i="5" s="1"/>
  <c r="V1874" i="5"/>
  <c r="E1874" i="5"/>
  <c r="X1874" i="5" s="1"/>
  <c r="V1875" i="5"/>
  <c r="E1875" i="5"/>
  <c r="X1875" i="5" s="1"/>
  <c r="V1876" i="5"/>
  <c r="E1876" i="5"/>
  <c r="X1876" i="5" s="1"/>
  <c r="V1877" i="5"/>
  <c r="E1877" i="5"/>
  <c r="X1877" i="5" s="1"/>
  <c r="V1878" i="5"/>
  <c r="E1878" i="5"/>
  <c r="X1878" i="5" s="1"/>
  <c r="V1879" i="5"/>
  <c r="E1879" i="5"/>
  <c r="X1879" i="5" s="1"/>
  <c r="V1880" i="5"/>
  <c r="E1880" i="5"/>
  <c r="X1880" i="5" s="1"/>
  <c r="V1881" i="5"/>
  <c r="E1881" i="5"/>
  <c r="X1881" i="5" s="1"/>
  <c r="V1882" i="5"/>
  <c r="E1882" i="5"/>
  <c r="X1882" i="5" s="1"/>
  <c r="V1883" i="5"/>
  <c r="E1883" i="5"/>
  <c r="X1883" i="5" s="1"/>
  <c r="V1884" i="5"/>
  <c r="E1884" i="5"/>
  <c r="X1884" i="5" s="1"/>
  <c r="V1885" i="5"/>
  <c r="E1885" i="5"/>
  <c r="X1885" i="5" s="1"/>
  <c r="V1886" i="5"/>
  <c r="E1886" i="5"/>
  <c r="X1886" i="5" s="1"/>
  <c r="V1887" i="5"/>
  <c r="E1887" i="5"/>
  <c r="X1887" i="5" s="1"/>
  <c r="V1888" i="5"/>
  <c r="E1888" i="5"/>
  <c r="X1888" i="5" s="1"/>
  <c r="V1889" i="5"/>
  <c r="E1889" i="5"/>
  <c r="X1889" i="5" s="1"/>
  <c r="V1890" i="5"/>
  <c r="E1890" i="5"/>
  <c r="X1890" i="5" s="1"/>
  <c r="V1891" i="5"/>
  <c r="E1891" i="5"/>
  <c r="X1891" i="5" s="1"/>
  <c r="V1892" i="5"/>
  <c r="E1892" i="5"/>
  <c r="X1892" i="5" s="1"/>
  <c r="V1893" i="5"/>
  <c r="E1893" i="5"/>
  <c r="X1893" i="5" s="1"/>
  <c r="V1894" i="5"/>
  <c r="E1894" i="5"/>
  <c r="X1894" i="5" s="1"/>
  <c r="V1895" i="5"/>
  <c r="E1895" i="5"/>
  <c r="X1895" i="5" s="1"/>
  <c r="V1896" i="5"/>
  <c r="E1896" i="5"/>
  <c r="X1896" i="5" s="1"/>
  <c r="V1897" i="5"/>
  <c r="E1897" i="5"/>
  <c r="X1897" i="5" s="1"/>
  <c r="V1898" i="5"/>
  <c r="E1898" i="5"/>
  <c r="X1898" i="5" s="1"/>
  <c r="V1899" i="5"/>
  <c r="E1899" i="5"/>
  <c r="X1899" i="5" s="1"/>
  <c r="V1900" i="5"/>
  <c r="E1900" i="5"/>
  <c r="X1900" i="5" s="1"/>
  <c r="V1901" i="5"/>
  <c r="E1901" i="5"/>
  <c r="X1901" i="5" s="1"/>
  <c r="V1902" i="5"/>
  <c r="E1902" i="5"/>
  <c r="X1902" i="5" s="1"/>
  <c r="V1903" i="5"/>
  <c r="E1903" i="5"/>
  <c r="X1903" i="5" s="1"/>
  <c r="V1904" i="5"/>
  <c r="E1904" i="5"/>
  <c r="X1904" i="5" s="1"/>
  <c r="V1905" i="5"/>
  <c r="E1905" i="5"/>
  <c r="X1905" i="5" s="1"/>
  <c r="V1906" i="5"/>
  <c r="E1906" i="5"/>
  <c r="X1906" i="5" s="1"/>
  <c r="V1907" i="5"/>
  <c r="E1907" i="5"/>
  <c r="X1907" i="5" s="1"/>
  <c r="V1908" i="5"/>
  <c r="E1908" i="5"/>
  <c r="X1908" i="5" s="1"/>
  <c r="V1909" i="5"/>
  <c r="E1909" i="5"/>
  <c r="X1909" i="5" s="1"/>
  <c r="V1910" i="5"/>
  <c r="E1910" i="5"/>
  <c r="X1910" i="5" s="1"/>
  <c r="V1911" i="5"/>
  <c r="E1911" i="5"/>
  <c r="X1911" i="5" s="1"/>
  <c r="V1912" i="5"/>
  <c r="E1912" i="5"/>
  <c r="X1912" i="5" s="1"/>
  <c r="V1913" i="5"/>
  <c r="E1913" i="5"/>
  <c r="X1913" i="5" s="1"/>
  <c r="V1914" i="5"/>
  <c r="E1914" i="5"/>
  <c r="X1914" i="5" s="1"/>
  <c r="V1915" i="5"/>
  <c r="E1915" i="5"/>
  <c r="X1915" i="5" s="1"/>
  <c r="V1916" i="5"/>
  <c r="E1916" i="5"/>
  <c r="X1916" i="5" s="1"/>
  <c r="V1917" i="5"/>
  <c r="E1917" i="5"/>
  <c r="X1917" i="5" s="1"/>
  <c r="V1918" i="5"/>
  <c r="E1918" i="5"/>
  <c r="X1918" i="5" s="1"/>
  <c r="V1919" i="5"/>
  <c r="E1919" i="5"/>
  <c r="X1919" i="5" s="1"/>
  <c r="V1920" i="5"/>
  <c r="E1920" i="5"/>
  <c r="X1920" i="5" s="1"/>
  <c r="V1921" i="5"/>
  <c r="E1921" i="5"/>
  <c r="X1921" i="5" s="1"/>
  <c r="V1922" i="5"/>
  <c r="E1922" i="5"/>
  <c r="X1922" i="5" s="1"/>
  <c r="V1923" i="5"/>
  <c r="E1923" i="5"/>
  <c r="X1923" i="5" s="1"/>
  <c r="V1924" i="5"/>
  <c r="E1924" i="5"/>
  <c r="X1924" i="5" s="1"/>
  <c r="V1925" i="5"/>
  <c r="E1925" i="5"/>
  <c r="X1925" i="5" s="1"/>
  <c r="V1926" i="5"/>
  <c r="E1926" i="5"/>
  <c r="X1926" i="5" s="1"/>
  <c r="V1927" i="5"/>
  <c r="E1927" i="5"/>
  <c r="X1927" i="5" s="1"/>
  <c r="V1928" i="5"/>
  <c r="E1928" i="5"/>
  <c r="X1928" i="5" s="1"/>
  <c r="V1929" i="5"/>
  <c r="E1929" i="5"/>
  <c r="X1929" i="5" s="1"/>
  <c r="V1930" i="5"/>
  <c r="E1930" i="5"/>
  <c r="X1930" i="5" s="1"/>
  <c r="V1931" i="5"/>
  <c r="E1931" i="5"/>
  <c r="X1931" i="5" s="1"/>
  <c r="V1932" i="5"/>
  <c r="E1932" i="5"/>
  <c r="X1932" i="5" s="1"/>
  <c r="V1933" i="5"/>
  <c r="E1933" i="5"/>
  <c r="X1933" i="5" s="1"/>
  <c r="V1934" i="5"/>
  <c r="E1934" i="5"/>
  <c r="X1934" i="5" s="1"/>
  <c r="V1935" i="5"/>
  <c r="E1935" i="5"/>
  <c r="X1935" i="5" s="1"/>
  <c r="V1936" i="5"/>
  <c r="E1936" i="5"/>
  <c r="X1936" i="5" s="1"/>
  <c r="V1937" i="5"/>
  <c r="E1937" i="5"/>
  <c r="X1937" i="5" s="1"/>
  <c r="V1938" i="5"/>
  <c r="E1938" i="5"/>
  <c r="X1938" i="5" s="1"/>
  <c r="V1939" i="5"/>
  <c r="E1939" i="5"/>
  <c r="X1939" i="5" s="1"/>
  <c r="V1940" i="5"/>
  <c r="E1940" i="5"/>
  <c r="X1940" i="5" s="1"/>
  <c r="V1941" i="5"/>
  <c r="E1941" i="5"/>
  <c r="X1941" i="5" s="1"/>
  <c r="V1942" i="5"/>
  <c r="E1942" i="5"/>
  <c r="X1942" i="5" s="1"/>
  <c r="V1943" i="5"/>
  <c r="E1943" i="5"/>
  <c r="X1943" i="5" s="1"/>
  <c r="V1944" i="5"/>
  <c r="E1944" i="5"/>
  <c r="X1944" i="5" s="1"/>
  <c r="V1945" i="5"/>
  <c r="E1945" i="5"/>
  <c r="X1945" i="5" s="1"/>
  <c r="V1946" i="5"/>
  <c r="E1946" i="5"/>
  <c r="X1946" i="5" s="1"/>
  <c r="V1947" i="5"/>
  <c r="E1947" i="5"/>
  <c r="X1947" i="5" s="1"/>
  <c r="V1948" i="5"/>
  <c r="E1948" i="5"/>
  <c r="X1948" i="5" s="1"/>
  <c r="V1949" i="5"/>
  <c r="E1949" i="5"/>
  <c r="X1949" i="5" s="1"/>
  <c r="V1950" i="5"/>
  <c r="E1950" i="5"/>
  <c r="X1950" i="5" s="1"/>
  <c r="V1951" i="5"/>
  <c r="E1951" i="5"/>
  <c r="X1951" i="5" s="1"/>
  <c r="V1952" i="5"/>
  <c r="E1952" i="5"/>
  <c r="X1952" i="5" s="1"/>
  <c r="V1953" i="5"/>
  <c r="E1953" i="5"/>
  <c r="X1953" i="5" s="1"/>
  <c r="V1954" i="5"/>
  <c r="E1954" i="5"/>
  <c r="X1954" i="5" s="1"/>
  <c r="V1955" i="5"/>
  <c r="E1955" i="5"/>
  <c r="X1955" i="5" s="1"/>
  <c r="V1956" i="5"/>
  <c r="E1956" i="5"/>
  <c r="X1956" i="5" s="1"/>
  <c r="V1957" i="5"/>
  <c r="E1957" i="5"/>
  <c r="X1957" i="5" s="1"/>
  <c r="V1958" i="5"/>
  <c r="E1958" i="5"/>
  <c r="X1958" i="5" s="1"/>
  <c r="V1959" i="5"/>
  <c r="E1959" i="5"/>
  <c r="X1959" i="5" s="1"/>
  <c r="V1960" i="5"/>
  <c r="E1960" i="5"/>
  <c r="X1960" i="5" s="1"/>
  <c r="V1961" i="5"/>
  <c r="E1961" i="5"/>
  <c r="X1961" i="5" s="1"/>
  <c r="V1962" i="5"/>
  <c r="E1962" i="5"/>
  <c r="X1962" i="5" s="1"/>
  <c r="V1963" i="5"/>
  <c r="E1963" i="5"/>
  <c r="X1963" i="5" s="1"/>
  <c r="V1964" i="5"/>
  <c r="E1964" i="5"/>
  <c r="X1964" i="5" s="1"/>
  <c r="V1965" i="5"/>
  <c r="E1965" i="5"/>
  <c r="X1965" i="5" s="1"/>
  <c r="V1966" i="5"/>
  <c r="E1966" i="5"/>
  <c r="X1966" i="5" s="1"/>
  <c r="V1967" i="5"/>
  <c r="E1967" i="5"/>
  <c r="X1967" i="5" s="1"/>
  <c r="V1968" i="5"/>
  <c r="E1968" i="5"/>
  <c r="X1968" i="5" s="1"/>
  <c r="V1969" i="5"/>
  <c r="E1969" i="5"/>
  <c r="X1969" i="5" s="1"/>
  <c r="V1970" i="5"/>
  <c r="E1970" i="5"/>
  <c r="X1970" i="5" s="1"/>
  <c r="V1971" i="5"/>
  <c r="E1971" i="5"/>
  <c r="X1971" i="5" s="1"/>
  <c r="V1972" i="5"/>
  <c r="E1972" i="5"/>
  <c r="X1972" i="5" s="1"/>
  <c r="V1973" i="5"/>
  <c r="E1973" i="5"/>
  <c r="X1973" i="5" s="1"/>
  <c r="V1974" i="5"/>
  <c r="E1974" i="5"/>
  <c r="X1974" i="5" s="1"/>
  <c r="V1975" i="5"/>
  <c r="E1975" i="5"/>
  <c r="X1975" i="5" s="1"/>
  <c r="V1976" i="5"/>
  <c r="E1976" i="5"/>
  <c r="X1976" i="5" s="1"/>
  <c r="V1977" i="5"/>
  <c r="E1977" i="5"/>
  <c r="X1977" i="5" s="1"/>
  <c r="V1978" i="5"/>
  <c r="E1978" i="5"/>
  <c r="X1978" i="5" s="1"/>
  <c r="V1979" i="5"/>
  <c r="E1979" i="5"/>
  <c r="X1979" i="5" s="1"/>
  <c r="V1980" i="5"/>
  <c r="E1980" i="5"/>
  <c r="X1980" i="5" s="1"/>
  <c r="V1981" i="5"/>
  <c r="E1981" i="5"/>
  <c r="X1981" i="5" s="1"/>
  <c r="V1982" i="5"/>
  <c r="E1982" i="5"/>
  <c r="X1982" i="5" s="1"/>
  <c r="V1983" i="5"/>
  <c r="E1983" i="5"/>
  <c r="X1983" i="5" s="1"/>
  <c r="V1984" i="5"/>
  <c r="E1984" i="5"/>
  <c r="X1984" i="5" s="1"/>
  <c r="V1985" i="5"/>
  <c r="E1985" i="5"/>
  <c r="X1985" i="5" s="1"/>
  <c r="V1986" i="5"/>
  <c r="E1986" i="5"/>
  <c r="X1986" i="5" s="1"/>
  <c r="V1987" i="5"/>
  <c r="E1987" i="5"/>
  <c r="X1987" i="5" s="1"/>
  <c r="V1988" i="5"/>
  <c r="E1988" i="5"/>
  <c r="X1988" i="5" s="1"/>
  <c r="V1989" i="5"/>
  <c r="E1989" i="5"/>
  <c r="X1989" i="5" s="1"/>
  <c r="V1990" i="5"/>
  <c r="E1990" i="5"/>
  <c r="X1990" i="5" s="1"/>
  <c r="V1991" i="5"/>
  <c r="E1991" i="5"/>
  <c r="X1991" i="5" s="1"/>
  <c r="V1992" i="5"/>
  <c r="E1992" i="5"/>
  <c r="X1992" i="5" s="1"/>
  <c r="V1993" i="5"/>
  <c r="E1993" i="5"/>
  <c r="X1993" i="5" s="1"/>
  <c r="V1994" i="5"/>
  <c r="E1994" i="5"/>
  <c r="X1994" i="5" s="1"/>
  <c r="V1995" i="5"/>
  <c r="E1995" i="5"/>
  <c r="X1995" i="5" s="1"/>
  <c r="V1996" i="5"/>
  <c r="E1996" i="5"/>
  <c r="X1996" i="5" s="1"/>
  <c r="V1997" i="5"/>
  <c r="E1997" i="5"/>
  <c r="X1997" i="5" s="1"/>
  <c r="V1998" i="5"/>
  <c r="E1998" i="5"/>
  <c r="X1998" i="5" s="1"/>
  <c r="V1999" i="5"/>
  <c r="E1999" i="5"/>
  <c r="X1999" i="5" s="1"/>
  <c r="V2000" i="5"/>
  <c r="E2000" i="5"/>
  <c r="X2000" i="5" s="1"/>
  <c r="V2001" i="5"/>
  <c r="E2001" i="5"/>
  <c r="X2001" i="5" s="1"/>
  <c r="V2002" i="5"/>
  <c r="E2002" i="5"/>
  <c r="X2002" i="5" s="1"/>
  <c r="V2003" i="5"/>
  <c r="E2003" i="5"/>
  <c r="X2003" i="5" s="1"/>
  <c r="V2004" i="5"/>
  <c r="E2004" i="5"/>
  <c r="X2004" i="5" s="1"/>
  <c r="V2005" i="5"/>
  <c r="E2005" i="5"/>
  <c r="X2005" i="5" s="1"/>
  <c r="V2006" i="5"/>
  <c r="E2006" i="5"/>
  <c r="X2006" i="5" s="1"/>
  <c r="V2007" i="5"/>
  <c r="E2007" i="5"/>
  <c r="X2007" i="5" s="1"/>
  <c r="V2008" i="5"/>
  <c r="E2008" i="5"/>
  <c r="X2008" i="5" s="1"/>
  <c r="V2009" i="5"/>
  <c r="E2009" i="5"/>
  <c r="X2009" i="5" s="1"/>
  <c r="V2010" i="5"/>
  <c r="E2010" i="5"/>
  <c r="X2010" i="5" s="1"/>
  <c r="V2011" i="5"/>
  <c r="E2011" i="5"/>
  <c r="X2011" i="5" s="1"/>
  <c r="V2012" i="5"/>
  <c r="E2012" i="5"/>
  <c r="X2012" i="5" s="1"/>
  <c r="V2013" i="5"/>
  <c r="E2013" i="5"/>
  <c r="X2013" i="5" s="1"/>
  <c r="V2014" i="5"/>
  <c r="E2014" i="5"/>
  <c r="X2014" i="5" s="1"/>
  <c r="V2015" i="5"/>
  <c r="E2015" i="5"/>
  <c r="X2015" i="5" s="1"/>
  <c r="V2016" i="5"/>
  <c r="E2016" i="5"/>
  <c r="X2016" i="5" s="1"/>
  <c r="V2017" i="5"/>
  <c r="E2017" i="5"/>
  <c r="X2017" i="5" s="1"/>
  <c r="V2018" i="5"/>
  <c r="E2018" i="5"/>
  <c r="X2018" i="5" s="1"/>
  <c r="V2019" i="5"/>
  <c r="E2019" i="5"/>
  <c r="X2019" i="5" s="1"/>
  <c r="V2020" i="5"/>
  <c r="E2020" i="5"/>
  <c r="X2020" i="5" s="1"/>
  <c r="V2021" i="5"/>
  <c r="E2021" i="5"/>
  <c r="X2021" i="5" s="1"/>
  <c r="V2022" i="5"/>
  <c r="E2022" i="5"/>
  <c r="X2022" i="5" s="1"/>
  <c r="V2023" i="5"/>
  <c r="E2023" i="5"/>
  <c r="X2023" i="5" s="1"/>
  <c r="V2024" i="5"/>
  <c r="E2024" i="5"/>
  <c r="X2024" i="5" s="1"/>
  <c r="V2025" i="5"/>
  <c r="E2025" i="5"/>
  <c r="X2025" i="5" s="1"/>
  <c r="V2026" i="5"/>
  <c r="E2026" i="5"/>
  <c r="X2026" i="5" s="1"/>
  <c r="V2027" i="5"/>
  <c r="E2027" i="5"/>
  <c r="X2027" i="5" s="1"/>
  <c r="V2028" i="5"/>
  <c r="E2028" i="5"/>
  <c r="X2028" i="5" s="1"/>
  <c r="V2029" i="5"/>
  <c r="E2029" i="5"/>
  <c r="X2029" i="5" s="1"/>
  <c r="V2030" i="5"/>
  <c r="E2030" i="5"/>
  <c r="X2030" i="5" s="1"/>
  <c r="V2031" i="5"/>
  <c r="E2031" i="5"/>
  <c r="X2031" i="5" s="1"/>
  <c r="V2032" i="5"/>
  <c r="E2032" i="5"/>
  <c r="X2032" i="5" s="1"/>
  <c r="V2033" i="5"/>
  <c r="E2033" i="5"/>
  <c r="X2033" i="5" s="1"/>
  <c r="V2034" i="5"/>
  <c r="E2034" i="5"/>
  <c r="X2034" i="5" s="1"/>
  <c r="V2035" i="5"/>
  <c r="E2035" i="5"/>
  <c r="X2035" i="5" s="1"/>
  <c r="V2036" i="5"/>
  <c r="E2036" i="5"/>
  <c r="X2036" i="5" s="1"/>
  <c r="V2037" i="5"/>
  <c r="E2037" i="5"/>
  <c r="X2037" i="5" s="1"/>
  <c r="V2038" i="5"/>
  <c r="E2038" i="5"/>
  <c r="X2038" i="5" s="1"/>
  <c r="V2039" i="5"/>
  <c r="E2039" i="5"/>
  <c r="X2039" i="5" s="1"/>
  <c r="V2040" i="5"/>
  <c r="E2040" i="5"/>
  <c r="X2040" i="5" s="1"/>
  <c r="V2041" i="5"/>
  <c r="E2041" i="5"/>
  <c r="X2041" i="5" s="1"/>
  <c r="V2042" i="5"/>
  <c r="E2042" i="5"/>
  <c r="X2042" i="5" s="1"/>
  <c r="V2043" i="5"/>
  <c r="E2043" i="5"/>
  <c r="X2043" i="5" s="1"/>
  <c r="V2044" i="5"/>
  <c r="E2044" i="5"/>
  <c r="X2044" i="5" s="1"/>
  <c r="V2045" i="5"/>
  <c r="E2045" i="5"/>
  <c r="X2045" i="5" s="1"/>
  <c r="V2046" i="5"/>
  <c r="E2046" i="5"/>
  <c r="X2046" i="5" s="1"/>
  <c r="V2047" i="5"/>
  <c r="E2047" i="5"/>
  <c r="X2047" i="5" s="1"/>
  <c r="V2048" i="5"/>
  <c r="E2048" i="5"/>
  <c r="X2048" i="5" s="1"/>
  <c r="V2049" i="5"/>
  <c r="E2049" i="5"/>
  <c r="X2049" i="5" s="1"/>
  <c r="V2050" i="5"/>
  <c r="E2050" i="5"/>
  <c r="X2050" i="5" s="1"/>
  <c r="V2051" i="5"/>
  <c r="E2051" i="5"/>
  <c r="X2051" i="5" s="1"/>
  <c r="V2052" i="5"/>
  <c r="E2052" i="5"/>
  <c r="X2052" i="5" s="1"/>
  <c r="V2053" i="5"/>
  <c r="E2053" i="5"/>
  <c r="X2053" i="5" s="1"/>
  <c r="V2054" i="5"/>
  <c r="E2054" i="5"/>
  <c r="X2054" i="5" s="1"/>
  <c r="V2055" i="5"/>
  <c r="E2055" i="5"/>
  <c r="X2055" i="5" s="1"/>
  <c r="V2056" i="5"/>
  <c r="E2056" i="5"/>
  <c r="X2056" i="5" s="1"/>
  <c r="V2057" i="5"/>
  <c r="E2057" i="5"/>
  <c r="X2057" i="5" s="1"/>
  <c r="V2058" i="5"/>
  <c r="E2058" i="5"/>
  <c r="X2058" i="5" s="1"/>
  <c r="V2059" i="5"/>
  <c r="E2059" i="5"/>
  <c r="X2059" i="5" s="1"/>
  <c r="V2060" i="5"/>
  <c r="E2060" i="5"/>
  <c r="X2060" i="5" s="1"/>
  <c r="V2061" i="5"/>
  <c r="E2061" i="5"/>
  <c r="X2061" i="5" s="1"/>
  <c r="V2062" i="5"/>
  <c r="E2062" i="5"/>
  <c r="X2062" i="5" s="1"/>
  <c r="V2063" i="5"/>
  <c r="E2063" i="5"/>
  <c r="X2063" i="5" s="1"/>
  <c r="V2064" i="5"/>
  <c r="E2064" i="5"/>
  <c r="X2064" i="5" s="1"/>
  <c r="V2065" i="5"/>
  <c r="E2065" i="5"/>
  <c r="X2065" i="5" s="1"/>
  <c r="V2066" i="5"/>
  <c r="E2066" i="5"/>
  <c r="X2066" i="5" s="1"/>
  <c r="V2067" i="5"/>
  <c r="E2067" i="5"/>
  <c r="X2067" i="5" s="1"/>
  <c r="V2068" i="5"/>
  <c r="E2068" i="5"/>
  <c r="X2068" i="5" s="1"/>
  <c r="V2069" i="5"/>
  <c r="E2069" i="5"/>
  <c r="X2069" i="5" s="1"/>
  <c r="V2070" i="5"/>
  <c r="E2070" i="5"/>
  <c r="X2070" i="5" s="1"/>
  <c r="V2071" i="5"/>
  <c r="E2071" i="5"/>
  <c r="X2071" i="5" s="1"/>
  <c r="V2072" i="5"/>
  <c r="E2072" i="5"/>
  <c r="X2072" i="5" s="1"/>
  <c r="V2073" i="5"/>
  <c r="E2073" i="5"/>
  <c r="X2073" i="5" s="1"/>
  <c r="V2074" i="5"/>
  <c r="E2074" i="5"/>
  <c r="X2074" i="5" s="1"/>
  <c r="V2075" i="5"/>
  <c r="E2075" i="5"/>
  <c r="X2075" i="5" s="1"/>
  <c r="V2076" i="5"/>
  <c r="E2076" i="5"/>
  <c r="X2076" i="5" s="1"/>
  <c r="V2077" i="5"/>
  <c r="E2077" i="5"/>
  <c r="X2077" i="5" s="1"/>
  <c r="V2078" i="5"/>
  <c r="E2078" i="5"/>
  <c r="X2078" i="5" s="1"/>
  <c r="V2079" i="5"/>
  <c r="E2079" i="5"/>
  <c r="X2079" i="5" s="1"/>
  <c r="V2080" i="5"/>
  <c r="E2080" i="5"/>
  <c r="X2080" i="5" s="1"/>
  <c r="V2081" i="5"/>
  <c r="E2081" i="5"/>
  <c r="X2081" i="5" s="1"/>
  <c r="V2082" i="5"/>
  <c r="E2082" i="5"/>
  <c r="X2082" i="5" s="1"/>
  <c r="V2083" i="5"/>
  <c r="E2083" i="5"/>
  <c r="X2083" i="5" s="1"/>
  <c r="V2084" i="5"/>
  <c r="E2084" i="5"/>
  <c r="X2084" i="5" s="1"/>
  <c r="V2085" i="5"/>
  <c r="E2085" i="5"/>
  <c r="X2085" i="5" s="1"/>
  <c r="V2086" i="5"/>
  <c r="E2086" i="5"/>
  <c r="X2086" i="5" s="1"/>
  <c r="V2087" i="5"/>
  <c r="E2087" i="5"/>
  <c r="X2087" i="5" s="1"/>
  <c r="V2088" i="5"/>
  <c r="E2088" i="5"/>
  <c r="X2088" i="5" s="1"/>
  <c r="V2089" i="5"/>
  <c r="E2089" i="5"/>
  <c r="X2089" i="5" s="1"/>
  <c r="V2090" i="5"/>
  <c r="E2090" i="5"/>
  <c r="X2090" i="5" s="1"/>
  <c r="V2091" i="5"/>
  <c r="E2091" i="5"/>
  <c r="X2091" i="5" s="1"/>
  <c r="V2092" i="5"/>
  <c r="E2092" i="5"/>
  <c r="X2092" i="5" s="1"/>
  <c r="V2093" i="5"/>
  <c r="E2093" i="5"/>
  <c r="X2093" i="5" s="1"/>
  <c r="V2094" i="5"/>
  <c r="E2094" i="5"/>
  <c r="X2094" i="5" s="1"/>
  <c r="V2095" i="5"/>
  <c r="E2095" i="5"/>
  <c r="X2095" i="5" s="1"/>
  <c r="V2096" i="5"/>
  <c r="E2096" i="5"/>
  <c r="X2096" i="5" s="1"/>
  <c r="V2097" i="5"/>
  <c r="E2097" i="5"/>
  <c r="X2097" i="5" s="1"/>
  <c r="V2098" i="5"/>
  <c r="E2098" i="5"/>
  <c r="X2098" i="5" s="1"/>
  <c r="V2099" i="5"/>
  <c r="E2099" i="5"/>
  <c r="X2099" i="5" s="1"/>
  <c r="V2100" i="5"/>
  <c r="E2100" i="5"/>
  <c r="X2100" i="5" s="1"/>
  <c r="V2101" i="5"/>
  <c r="E2101" i="5"/>
  <c r="X2101" i="5" s="1"/>
  <c r="V2102" i="5"/>
  <c r="E2102" i="5"/>
  <c r="X2102" i="5" s="1"/>
  <c r="V2103" i="5"/>
  <c r="E2103" i="5"/>
  <c r="X2103" i="5" s="1"/>
  <c r="V2104" i="5"/>
  <c r="E2104" i="5"/>
  <c r="X2104" i="5" s="1"/>
  <c r="V2105" i="5"/>
  <c r="E2105" i="5"/>
  <c r="X2105" i="5" s="1"/>
  <c r="V2106" i="5"/>
  <c r="E2106" i="5"/>
  <c r="X2106" i="5" s="1"/>
  <c r="V2107" i="5"/>
  <c r="E2107" i="5"/>
  <c r="X2107" i="5" s="1"/>
  <c r="V2108" i="5"/>
  <c r="E2108" i="5"/>
  <c r="X2108" i="5" s="1"/>
  <c r="V2109" i="5"/>
  <c r="E2109" i="5"/>
  <c r="X2109" i="5" s="1"/>
  <c r="V2110" i="5"/>
  <c r="E2110" i="5"/>
  <c r="X2110" i="5" s="1"/>
  <c r="V2111" i="5"/>
  <c r="E2111" i="5"/>
  <c r="X2111" i="5" s="1"/>
  <c r="V2112" i="5"/>
  <c r="E2112" i="5"/>
  <c r="X2112" i="5" s="1"/>
  <c r="V2113" i="5"/>
  <c r="E2113" i="5"/>
  <c r="X2113" i="5" s="1"/>
  <c r="V2114" i="5"/>
  <c r="E2114" i="5"/>
  <c r="X2114" i="5" s="1"/>
  <c r="V2115" i="5"/>
  <c r="E2115" i="5"/>
  <c r="X2115" i="5" s="1"/>
  <c r="V2116" i="5"/>
  <c r="E2116" i="5"/>
  <c r="X2116" i="5" s="1"/>
  <c r="V2117" i="5"/>
  <c r="E2117" i="5"/>
  <c r="X2117" i="5" s="1"/>
  <c r="V2118" i="5"/>
  <c r="E2118" i="5"/>
  <c r="X2118" i="5" s="1"/>
  <c r="V2119" i="5"/>
  <c r="E2119" i="5"/>
  <c r="X2119" i="5" s="1"/>
  <c r="V2120" i="5"/>
  <c r="E2120" i="5"/>
  <c r="X2120" i="5" s="1"/>
  <c r="V2121" i="5"/>
  <c r="E2121" i="5"/>
  <c r="X2121" i="5" s="1"/>
  <c r="V2122" i="5"/>
  <c r="E2122" i="5"/>
  <c r="X2122" i="5" s="1"/>
  <c r="V2123" i="5"/>
  <c r="E2123" i="5"/>
  <c r="X2123" i="5" s="1"/>
  <c r="V2124" i="5"/>
  <c r="E2124" i="5"/>
  <c r="X2124" i="5" s="1"/>
  <c r="V2125" i="5"/>
  <c r="E2125" i="5"/>
  <c r="X2125" i="5" s="1"/>
  <c r="V2126" i="5"/>
  <c r="E2126" i="5"/>
  <c r="X2126" i="5" s="1"/>
  <c r="V2127" i="5"/>
  <c r="E2127" i="5"/>
  <c r="X2127" i="5" s="1"/>
  <c r="V2128" i="5"/>
  <c r="E2128" i="5"/>
  <c r="X2128" i="5" s="1"/>
  <c r="V2129" i="5"/>
  <c r="E2129" i="5"/>
  <c r="X2129" i="5" s="1"/>
  <c r="V2130" i="5"/>
  <c r="E2130" i="5"/>
  <c r="X2130" i="5" s="1"/>
  <c r="V2131" i="5"/>
  <c r="E2131" i="5"/>
  <c r="X2131" i="5" s="1"/>
  <c r="V2132" i="5"/>
  <c r="E2132" i="5"/>
  <c r="X2132" i="5" s="1"/>
  <c r="V2133" i="5"/>
  <c r="E2133" i="5"/>
  <c r="X2133" i="5" s="1"/>
  <c r="V2134" i="5"/>
  <c r="E2134" i="5"/>
  <c r="X2134" i="5" s="1"/>
  <c r="V2135" i="5"/>
  <c r="E2135" i="5"/>
  <c r="X2135" i="5" s="1"/>
  <c r="V2136" i="5"/>
  <c r="E2136" i="5"/>
  <c r="X2136" i="5" s="1"/>
  <c r="V2137" i="5"/>
  <c r="E2137" i="5"/>
  <c r="X2137" i="5" s="1"/>
  <c r="V2138" i="5"/>
  <c r="E2138" i="5"/>
  <c r="X2138" i="5" s="1"/>
  <c r="V2139" i="5"/>
  <c r="E2139" i="5"/>
  <c r="X2139" i="5" s="1"/>
  <c r="V2140" i="5"/>
  <c r="E2140" i="5"/>
  <c r="X2140" i="5" s="1"/>
  <c r="V2141" i="5"/>
  <c r="E2141" i="5"/>
  <c r="X2141" i="5" s="1"/>
  <c r="V2142" i="5"/>
  <c r="E2142" i="5"/>
  <c r="X2142" i="5" s="1"/>
  <c r="V2143" i="5"/>
  <c r="E2143" i="5"/>
  <c r="X2143" i="5" s="1"/>
  <c r="V2144" i="5"/>
  <c r="E2144" i="5"/>
  <c r="X2144" i="5" s="1"/>
  <c r="V2145" i="5"/>
  <c r="E2145" i="5"/>
  <c r="X2145" i="5" s="1"/>
  <c r="V2146" i="5"/>
  <c r="E2146" i="5"/>
  <c r="X2146" i="5" s="1"/>
  <c r="V2147" i="5"/>
  <c r="E2147" i="5"/>
  <c r="X2147" i="5" s="1"/>
  <c r="V2148" i="5"/>
  <c r="E2148" i="5"/>
  <c r="X2148" i="5" s="1"/>
  <c r="V2149" i="5"/>
  <c r="E2149" i="5"/>
  <c r="X2149" i="5" s="1"/>
  <c r="V2150" i="5"/>
  <c r="E2150" i="5"/>
  <c r="X2150" i="5" s="1"/>
  <c r="V2151" i="5"/>
  <c r="E2151" i="5"/>
  <c r="X2151" i="5" s="1"/>
  <c r="V2152" i="5"/>
  <c r="E2152" i="5"/>
  <c r="X2152" i="5" s="1"/>
  <c r="V2153" i="5"/>
  <c r="E2153" i="5"/>
  <c r="X2153" i="5" s="1"/>
  <c r="V2154" i="5"/>
  <c r="E2154" i="5"/>
  <c r="X2154" i="5" s="1"/>
  <c r="V2155" i="5"/>
  <c r="E2155" i="5"/>
  <c r="X2155" i="5" s="1"/>
  <c r="V2156" i="5"/>
  <c r="E2156" i="5"/>
  <c r="X2156" i="5" s="1"/>
  <c r="V2157" i="5"/>
  <c r="E2157" i="5"/>
  <c r="X2157" i="5" s="1"/>
  <c r="V2158" i="5"/>
  <c r="E2158" i="5"/>
  <c r="X2158" i="5" s="1"/>
  <c r="V2159" i="5"/>
  <c r="E2159" i="5"/>
  <c r="X2159" i="5" s="1"/>
  <c r="V2160" i="5"/>
  <c r="E2160" i="5"/>
  <c r="X2160" i="5" s="1"/>
  <c r="V2161" i="5"/>
  <c r="E2161" i="5"/>
  <c r="X2161" i="5" s="1"/>
  <c r="V2162" i="5"/>
  <c r="E2162" i="5"/>
  <c r="X2162" i="5" s="1"/>
  <c r="V2163" i="5"/>
  <c r="E2163" i="5"/>
  <c r="X2163" i="5" s="1"/>
  <c r="V2164" i="5"/>
  <c r="E2164" i="5"/>
  <c r="X2164" i="5" s="1"/>
  <c r="V2165" i="5"/>
  <c r="E2165" i="5"/>
  <c r="X2165" i="5" s="1"/>
  <c r="V2166" i="5"/>
  <c r="E2166" i="5"/>
  <c r="X2166" i="5" s="1"/>
  <c r="V2167" i="5"/>
  <c r="E2167" i="5"/>
  <c r="X2167" i="5" s="1"/>
  <c r="V2168" i="5"/>
  <c r="E2168" i="5"/>
  <c r="X2168" i="5" s="1"/>
  <c r="V2169" i="5"/>
  <c r="E2169" i="5"/>
  <c r="X2169" i="5" s="1"/>
  <c r="V2170" i="5"/>
  <c r="E2170" i="5"/>
  <c r="X2170" i="5" s="1"/>
  <c r="V2171" i="5"/>
  <c r="E2171" i="5"/>
  <c r="X2171" i="5" s="1"/>
  <c r="V2172" i="5"/>
  <c r="E2172" i="5"/>
  <c r="X2172" i="5" s="1"/>
  <c r="V2173" i="5"/>
  <c r="E2173" i="5"/>
  <c r="X2173" i="5" s="1"/>
  <c r="V2174" i="5"/>
  <c r="E2174" i="5"/>
  <c r="X2174" i="5" s="1"/>
  <c r="V2175" i="5"/>
  <c r="E2175" i="5"/>
  <c r="X2175" i="5" s="1"/>
  <c r="V2176" i="5"/>
  <c r="E2176" i="5"/>
  <c r="X2176" i="5" s="1"/>
  <c r="V2177" i="5"/>
  <c r="E2177" i="5"/>
  <c r="X2177" i="5" s="1"/>
  <c r="V2178" i="5"/>
  <c r="E2178" i="5"/>
  <c r="X2178" i="5" s="1"/>
  <c r="V2179" i="5"/>
  <c r="E2179" i="5"/>
  <c r="X2179" i="5" s="1"/>
  <c r="V2180" i="5"/>
  <c r="E2180" i="5"/>
  <c r="X2180" i="5" s="1"/>
  <c r="V2181" i="5"/>
  <c r="E2181" i="5"/>
  <c r="X2181" i="5" s="1"/>
  <c r="V2182" i="5"/>
  <c r="E2182" i="5"/>
  <c r="X2182" i="5" s="1"/>
  <c r="V2183" i="5"/>
  <c r="E2183" i="5"/>
  <c r="X2183" i="5" s="1"/>
  <c r="V2184" i="5"/>
  <c r="E2184" i="5"/>
  <c r="X2184" i="5" s="1"/>
  <c r="V2185" i="5"/>
  <c r="E2185" i="5"/>
  <c r="X2185" i="5" s="1"/>
  <c r="V2186" i="5"/>
  <c r="E2186" i="5"/>
  <c r="X2186" i="5" s="1"/>
  <c r="V2187" i="5"/>
  <c r="E2187" i="5"/>
  <c r="X2187" i="5" s="1"/>
  <c r="V2188" i="5"/>
  <c r="E2188" i="5"/>
  <c r="X2188" i="5" s="1"/>
  <c r="V2189" i="5"/>
  <c r="E2189" i="5"/>
  <c r="X2189" i="5" s="1"/>
  <c r="V2190" i="5"/>
  <c r="E2190" i="5"/>
  <c r="X2190" i="5" s="1"/>
  <c r="V2191" i="5"/>
  <c r="E2191" i="5"/>
  <c r="X2191" i="5" s="1"/>
  <c r="V2192" i="5"/>
  <c r="E2192" i="5"/>
  <c r="X2192" i="5" s="1"/>
  <c r="V2193" i="5"/>
  <c r="E2193" i="5"/>
  <c r="X2193" i="5" s="1"/>
  <c r="V2194" i="5"/>
  <c r="E2194" i="5"/>
  <c r="X2194" i="5" s="1"/>
  <c r="V2195" i="5"/>
  <c r="E2195" i="5"/>
  <c r="X2195" i="5" s="1"/>
  <c r="V2196" i="5"/>
  <c r="E2196" i="5"/>
  <c r="X2196" i="5" s="1"/>
  <c r="V2197" i="5"/>
  <c r="E2197" i="5"/>
  <c r="X2197" i="5" s="1"/>
  <c r="V2198" i="5"/>
  <c r="E2198" i="5"/>
  <c r="X2198" i="5" s="1"/>
  <c r="V2199" i="5"/>
  <c r="E2199" i="5"/>
  <c r="X2199" i="5" s="1"/>
  <c r="V2200" i="5"/>
  <c r="E2200" i="5"/>
  <c r="X2200" i="5" s="1"/>
  <c r="V2201" i="5"/>
  <c r="E2201" i="5"/>
  <c r="X2201" i="5" s="1"/>
  <c r="V2202" i="5"/>
  <c r="E2202" i="5"/>
  <c r="X2202" i="5" s="1"/>
  <c r="V2203" i="5"/>
  <c r="E2203" i="5"/>
  <c r="X2203" i="5" s="1"/>
  <c r="V2204" i="5"/>
  <c r="E2204" i="5"/>
  <c r="X2204" i="5" s="1"/>
  <c r="V2205" i="5"/>
  <c r="E2205" i="5"/>
  <c r="X2205" i="5" s="1"/>
  <c r="V2206" i="5"/>
  <c r="E2206" i="5"/>
  <c r="X2206" i="5" s="1"/>
  <c r="V2207" i="5"/>
  <c r="E2207" i="5"/>
  <c r="X2207" i="5" s="1"/>
  <c r="V2208" i="5"/>
  <c r="E2208" i="5"/>
  <c r="X2208" i="5" s="1"/>
  <c r="V2209" i="5"/>
  <c r="E2209" i="5"/>
  <c r="X2209" i="5" s="1"/>
  <c r="V2210" i="5"/>
  <c r="E2210" i="5"/>
  <c r="X2210" i="5" s="1"/>
  <c r="V2211" i="5"/>
  <c r="E2211" i="5"/>
  <c r="X2211" i="5" s="1"/>
  <c r="V2212" i="5"/>
  <c r="E2212" i="5"/>
  <c r="X2212" i="5" s="1"/>
  <c r="V2213" i="5"/>
  <c r="E2213" i="5"/>
  <c r="X2213" i="5" s="1"/>
  <c r="V2214" i="5"/>
  <c r="E2214" i="5"/>
  <c r="X2214" i="5" s="1"/>
  <c r="V2215" i="5"/>
  <c r="E2215" i="5"/>
  <c r="X2215" i="5" s="1"/>
  <c r="V2216" i="5"/>
  <c r="E2216" i="5"/>
  <c r="X2216" i="5" s="1"/>
  <c r="V2217" i="5"/>
  <c r="E2217" i="5"/>
  <c r="X2217" i="5" s="1"/>
  <c r="V2218" i="5"/>
  <c r="E2218" i="5"/>
  <c r="X2218" i="5" s="1"/>
  <c r="V2219" i="5"/>
  <c r="E2219" i="5"/>
  <c r="X2219" i="5" s="1"/>
  <c r="V2220" i="5"/>
  <c r="E2220" i="5"/>
  <c r="X2220" i="5" s="1"/>
  <c r="V2221" i="5"/>
  <c r="E2221" i="5"/>
  <c r="X2221" i="5" s="1"/>
  <c r="V2222" i="5"/>
  <c r="E2222" i="5"/>
  <c r="X2222" i="5" s="1"/>
  <c r="V2223" i="5"/>
  <c r="E2223" i="5"/>
  <c r="X2223" i="5" s="1"/>
  <c r="V2224" i="5"/>
  <c r="E2224" i="5"/>
  <c r="X2224" i="5" s="1"/>
  <c r="V2225" i="5"/>
  <c r="E2225" i="5"/>
  <c r="X2225" i="5" s="1"/>
  <c r="V2226" i="5"/>
  <c r="E2226" i="5"/>
  <c r="X2226" i="5" s="1"/>
  <c r="V2227" i="5"/>
  <c r="E2227" i="5"/>
  <c r="X2227" i="5" s="1"/>
  <c r="V2228" i="5"/>
  <c r="E2228" i="5"/>
  <c r="X2228" i="5" s="1"/>
  <c r="V2229" i="5"/>
  <c r="E2229" i="5"/>
  <c r="X2229" i="5" s="1"/>
  <c r="V2230" i="5"/>
  <c r="E2230" i="5"/>
  <c r="X2230" i="5" s="1"/>
  <c r="V2231" i="5"/>
  <c r="E2231" i="5"/>
  <c r="X2231" i="5" s="1"/>
  <c r="V2232" i="5"/>
  <c r="E2232" i="5"/>
  <c r="X2232" i="5" s="1"/>
  <c r="V2233" i="5"/>
  <c r="E2233" i="5"/>
  <c r="X2233" i="5" s="1"/>
  <c r="V2234" i="5"/>
  <c r="E2234" i="5"/>
  <c r="X2234" i="5" s="1"/>
  <c r="V2235" i="5"/>
  <c r="E2235" i="5"/>
  <c r="X2235" i="5" s="1"/>
  <c r="V2236" i="5"/>
  <c r="E2236" i="5"/>
  <c r="X2236" i="5" s="1"/>
  <c r="V2237" i="5"/>
  <c r="E2237" i="5"/>
  <c r="X2237" i="5" s="1"/>
  <c r="V2238" i="5"/>
  <c r="E2238" i="5"/>
  <c r="X2238" i="5" s="1"/>
  <c r="V2239" i="5"/>
  <c r="E2239" i="5"/>
  <c r="X2239" i="5" s="1"/>
  <c r="V2240" i="5"/>
  <c r="E2240" i="5"/>
  <c r="X2240" i="5" s="1"/>
  <c r="V2241" i="5"/>
  <c r="E2241" i="5"/>
  <c r="X2241" i="5" s="1"/>
  <c r="V2242" i="5"/>
  <c r="E2242" i="5"/>
  <c r="X2242" i="5" s="1"/>
  <c r="V2243" i="5"/>
  <c r="E2243" i="5"/>
  <c r="X2243" i="5" s="1"/>
  <c r="V2244" i="5"/>
  <c r="E2244" i="5"/>
  <c r="X2244" i="5" s="1"/>
  <c r="V2245" i="5"/>
  <c r="E2245" i="5"/>
  <c r="X2245" i="5" s="1"/>
  <c r="V2246" i="5"/>
  <c r="E2246" i="5"/>
  <c r="X2246" i="5" s="1"/>
  <c r="V2247" i="5"/>
  <c r="E2247" i="5"/>
  <c r="X2247" i="5" s="1"/>
  <c r="V2248" i="5"/>
  <c r="E2248" i="5"/>
  <c r="X2248" i="5" s="1"/>
  <c r="V2249" i="5"/>
  <c r="E2249" i="5"/>
  <c r="X2249" i="5" s="1"/>
  <c r="V2250" i="5"/>
  <c r="E2250" i="5"/>
  <c r="X2250" i="5" s="1"/>
  <c r="V2251" i="5"/>
  <c r="E2251" i="5"/>
  <c r="X2251" i="5" s="1"/>
  <c r="V2252" i="5"/>
  <c r="E2252" i="5"/>
  <c r="X2252" i="5" s="1"/>
  <c r="V2253" i="5"/>
  <c r="E2253" i="5"/>
  <c r="X2253" i="5" s="1"/>
  <c r="V2254" i="5"/>
  <c r="E2254" i="5"/>
  <c r="X2254" i="5" s="1"/>
  <c r="V2255" i="5"/>
  <c r="E2255" i="5"/>
  <c r="X2255" i="5" s="1"/>
  <c r="V2256" i="5"/>
  <c r="E2256" i="5"/>
  <c r="X2256" i="5" s="1"/>
  <c r="V2257" i="5"/>
  <c r="E2257" i="5"/>
  <c r="X2257" i="5" s="1"/>
  <c r="V2258" i="5"/>
  <c r="E2258" i="5"/>
  <c r="X2258" i="5" s="1"/>
  <c r="V2259" i="5"/>
  <c r="E2259" i="5"/>
  <c r="X2259" i="5" s="1"/>
  <c r="V2260" i="5"/>
  <c r="E2260" i="5"/>
  <c r="X2260" i="5" s="1"/>
  <c r="V2261" i="5"/>
  <c r="E2261" i="5"/>
  <c r="X2261" i="5" s="1"/>
  <c r="V2262" i="5"/>
  <c r="E2262" i="5"/>
  <c r="X2262" i="5" s="1"/>
  <c r="V2263" i="5"/>
  <c r="E2263" i="5"/>
  <c r="X2263" i="5" s="1"/>
  <c r="V2264" i="5"/>
  <c r="E2264" i="5"/>
  <c r="X2264" i="5" s="1"/>
  <c r="V2265" i="5"/>
  <c r="E2265" i="5"/>
  <c r="X2265" i="5" s="1"/>
  <c r="V2266" i="5"/>
  <c r="E2266" i="5"/>
  <c r="X2266" i="5" s="1"/>
  <c r="V2267" i="5"/>
  <c r="E2267" i="5"/>
  <c r="X2267" i="5" s="1"/>
  <c r="V2268" i="5"/>
  <c r="E2268" i="5"/>
  <c r="X2268" i="5" s="1"/>
  <c r="V2269" i="5"/>
  <c r="E2269" i="5"/>
  <c r="X2269" i="5" s="1"/>
  <c r="V2270" i="5"/>
  <c r="E2270" i="5"/>
  <c r="X2270" i="5" s="1"/>
  <c r="V2271" i="5"/>
  <c r="E2271" i="5"/>
  <c r="X2271" i="5" s="1"/>
  <c r="V2272" i="5"/>
  <c r="E2272" i="5"/>
  <c r="X2272" i="5" s="1"/>
  <c r="V2273" i="5"/>
  <c r="E2273" i="5"/>
  <c r="X2273" i="5" s="1"/>
  <c r="V2274" i="5"/>
  <c r="E2274" i="5"/>
  <c r="X2274" i="5" s="1"/>
  <c r="V2275" i="5"/>
  <c r="E2275" i="5"/>
  <c r="X2275" i="5" s="1"/>
  <c r="V2276" i="5"/>
  <c r="E2276" i="5"/>
  <c r="X2276" i="5" s="1"/>
  <c r="V2277" i="5"/>
  <c r="E2277" i="5"/>
  <c r="X2277" i="5" s="1"/>
  <c r="V2278" i="5"/>
  <c r="E2278" i="5"/>
  <c r="X2278" i="5" s="1"/>
  <c r="V2279" i="5"/>
  <c r="E2279" i="5"/>
  <c r="X2279" i="5" s="1"/>
  <c r="V2280" i="5"/>
  <c r="E2280" i="5"/>
  <c r="X2280" i="5" s="1"/>
  <c r="V2281" i="5"/>
  <c r="E2281" i="5"/>
  <c r="X2281" i="5" s="1"/>
  <c r="V2282" i="5"/>
  <c r="E2282" i="5"/>
  <c r="X2282" i="5" s="1"/>
  <c r="V2283" i="5"/>
  <c r="E2283" i="5"/>
  <c r="X2283" i="5" s="1"/>
  <c r="V2284" i="5"/>
  <c r="E2284" i="5"/>
  <c r="X2284" i="5" s="1"/>
  <c r="V2285" i="5"/>
  <c r="E2285" i="5"/>
  <c r="X2285" i="5" s="1"/>
  <c r="V2286" i="5"/>
  <c r="E2286" i="5"/>
  <c r="X2286" i="5" s="1"/>
  <c r="V2287" i="5"/>
  <c r="E2287" i="5"/>
  <c r="X2287" i="5" s="1"/>
  <c r="V2288" i="5"/>
  <c r="E2288" i="5"/>
  <c r="X2288" i="5" s="1"/>
  <c r="V2289" i="5"/>
  <c r="E2289" i="5"/>
  <c r="X2289" i="5" s="1"/>
  <c r="V2290" i="5"/>
  <c r="E2290" i="5"/>
  <c r="X2290" i="5" s="1"/>
  <c r="V2291" i="5"/>
  <c r="E2291" i="5"/>
  <c r="X2291" i="5" s="1"/>
  <c r="V2292" i="5"/>
  <c r="E2292" i="5"/>
  <c r="X2292" i="5" s="1"/>
  <c r="V2293" i="5"/>
  <c r="E2293" i="5"/>
  <c r="X2293" i="5" s="1"/>
  <c r="V2294" i="5"/>
  <c r="E2294" i="5"/>
  <c r="X2294" i="5" s="1"/>
  <c r="V2295" i="5"/>
  <c r="E2295" i="5"/>
  <c r="X2295" i="5" s="1"/>
  <c r="V2296" i="5"/>
  <c r="E2296" i="5"/>
  <c r="X2296" i="5" s="1"/>
  <c r="V2297" i="5"/>
  <c r="E2297" i="5"/>
  <c r="X2297" i="5" s="1"/>
  <c r="V2298" i="5"/>
  <c r="E2298" i="5"/>
  <c r="X2298" i="5" s="1"/>
  <c r="V2299" i="5"/>
  <c r="E2299" i="5"/>
  <c r="X2299" i="5" s="1"/>
  <c r="V2300" i="5"/>
  <c r="E2300" i="5"/>
  <c r="X2300" i="5" s="1"/>
  <c r="V2301" i="5"/>
  <c r="E2301" i="5"/>
  <c r="X2301" i="5" s="1"/>
  <c r="V2302" i="5"/>
  <c r="E2302" i="5"/>
  <c r="X2302" i="5" s="1"/>
  <c r="V2303" i="5"/>
  <c r="E2303" i="5"/>
  <c r="X2303" i="5" s="1"/>
  <c r="V2304" i="5"/>
  <c r="E2304" i="5"/>
  <c r="X2304" i="5" s="1"/>
  <c r="V2305" i="5"/>
  <c r="E2305" i="5"/>
  <c r="X2305" i="5" s="1"/>
  <c r="V2306" i="5"/>
  <c r="E2306" i="5"/>
  <c r="X2306" i="5" s="1"/>
  <c r="V2307" i="5"/>
  <c r="E2307" i="5"/>
  <c r="X2307" i="5" s="1"/>
  <c r="V2308" i="5"/>
  <c r="E2308" i="5"/>
  <c r="X2308" i="5" s="1"/>
  <c r="V2309" i="5"/>
  <c r="E2309" i="5"/>
  <c r="X2309" i="5" s="1"/>
  <c r="V2310" i="5"/>
  <c r="E2310" i="5"/>
  <c r="X2310" i="5" s="1"/>
  <c r="V2311" i="5"/>
  <c r="E2311" i="5"/>
  <c r="X2311" i="5" s="1"/>
  <c r="V2312" i="5"/>
  <c r="E2312" i="5"/>
  <c r="X2312" i="5" s="1"/>
  <c r="V2313" i="5"/>
  <c r="E2313" i="5"/>
  <c r="X2313" i="5" s="1"/>
  <c r="V2314" i="5"/>
  <c r="E2314" i="5"/>
  <c r="X2314" i="5" s="1"/>
  <c r="V2315" i="5"/>
  <c r="E2315" i="5"/>
  <c r="X2315" i="5" s="1"/>
  <c r="V2316" i="5"/>
  <c r="E2316" i="5"/>
  <c r="X2316" i="5" s="1"/>
  <c r="V2317" i="5"/>
  <c r="E2317" i="5"/>
  <c r="X2317" i="5" s="1"/>
  <c r="V2318" i="5"/>
  <c r="E2318" i="5"/>
  <c r="X2318" i="5" s="1"/>
  <c r="V2319" i="5"/>
  <c r="E2319" i="5"/>
  <c r="X2319" i="5" s="1"/>
  <c r="V2320" i="5"/>
  <c r="E2320" i="5"/>
  <c r="X2320" i="5" s="1"/>
  <c r="V2321" i="5"/>
  <c r="E2321" i="5"/>
  <c r="X2321" i="5" s="1"/>
  <c r="V2322" i="5"/>
  <c r="E2322" i="5"/>
  <c r="X2322" i="5" s="1"/>
  <c r="V2323" i="5"/>
  <c r="E2323" i="5"/>
  <c r="X2323" i="5" s="1"/>
  <c r="V2324" i="5"/>
  <c r="E2324" i="5"/>
  <c r="X2324" i="5" s="1"/>
  <c r="V2325" i="5"/>
  <c r="E2325" i="5"/>
  <c r="X2325" i="5" s="1"/>
  <c r="V2326" i="5"/>
  <c r="E2326" i="5"/>
  <c r="X2326" i="5" s="1"/>
  <c r="V2327" i="5"/>
  <c r="E2327" i="5"/>
  <c r="X2327" i="5" s="1"/>
  <c r="V2328" i="5"/>
  <c r="E2328" i="5"/>
  <c r="X2328" i="5" s="1"/>
  <c r="V2329" i="5"/>
  <c r="E2329" i="5"/>
  <c r="X2329" i="5" s="1"/>
  <c r="V2330" i="5"/>
  <c r="E2330" i="5"/>
  <c r="X2330" i="5" s="1"/>
  <c r="V2331" i="5"/>
  <c r="E2331" i="5"/>
  <c r="X2331" i="5" s="1"/>
  <c r="V2332" i="5"/>
  <c r="E2332" i="5"/>
  <c r="X2332" i="5" s="1"/>
  <c r="V2333" i="5"/>
  <c r="E2333" i="5"/>
  <c r="X2333" i="5" s="1"/>
  <c r="V2334" i="5"/>
  <c r="E2334" i="5"/>
  <c r="X2334" i="5" s="1"/>
  <c r="V2335" i="5"/>
  <c r="E2335" i="5"/>
  <c r="X2335" i="5" s="1"/>
  <c r="V2336" i="5"/>
  <c r="E2336" i="5"/>
  <c r="X2336" i="5" s="1"/>
  <c r="V2337" i="5"/>
  <c r="E2337" i="5"/>
  <c r="X2337" i="5" s="1"/>
  <c r="V2338" i="5"/>
  <c r="E2338" i="5"/>
  <c r="X2338" i="5" s="1"/>
  <c r="V2339" i="5"/>
  <c r="E2339" i="5"/>
  <c r="X2339" i="5" s="1"/>
  <c r="V2340" i="5"/>
  <c r="E2340" i="5"/>
  <c r="X2340" i="5" s="1"/>
  <c r="V2341" i="5"/>
  <c r="E2341" i="5"/>
  <c r="X2341" i="5" s="1"/>
  <c r="V2342" i="5"/>
  <c r="E2342" i="5"/>
  <c r="X2342" i="5" s="1"/>
  <c r="V2343" i="5"/>
  <c r="E2343" i="5"/>
  <c r="X2343" i="5" s="1"/>
  <c r="V2344" i="5"/>
  <c r="E2344" i="5"/>
  <c r="X2344" i="5" s="1"/>
  <c r="V2345" i="5"/>
  <c r="E2345" i="5"/>
  <c r="X2345" i="5" s="1"/>
  <c r="V2346" i="5"/>
  <c r="E2346" i="5"/>
  <c r="X2346" i="5" s="1"/>
  <c r="V2347" i="5"/>
  <c r="E2347" i="5"/>
  <c r="X2347" i="5" s="1"/>
  <c r="V2348" i="5"/>
  <c r="E2348" i="5"/>
  <c r="X2348" i="5" s="1"/>
  <c r="V2349" i="5"/>
  <c r="E2349" i="5"/>
  <c r="X2349" i="5" s="1"/>
  <c r="V2350" i="5"/>
  <c r="E2350" i="5"/>
  <c r="X2350" i="5" s="1"/>
  <c r="V2351" i="5"/>
  <c r="E2351" i="5"/>
  <c r="X2351" i="5" s="1"/>
  <c r="V2352" i="5"/>
  <c r="E2352" i="5"/>
  <c r="X2352" i="5" s="1"/>
  <c r="V2353" i="5"/>
  <c r="E2353" i="5"/>
  <c r="X2353" i="5" s="1"/>
  <c r="V2354" i="5"/>
  <c r="E2354" i="5"/>
  <c r="X2354" i="5" s="1"/>
  <c r="V2355" i="5"/>
  <c r="E2355" i="5"/>
  <c r="X2355" i="5" s="1"/>
  <c r="V2356" i="5"/>
  <c r="E2356" i="5"/>
  <c r="X2356" i="5" s="1"/>
  <c r="V2357" i="5"/>
  <c r="E2357" i="5"/>
  <c r="X2357" i="5" s="1"/>
  <c r="V2358" i="5"/>
  <c r="E2358" i="5"/>
  <c r="X2358" i="5" s="1"/>
  <c r="V2359" i="5"/>
  <c r="E2359" i="5"/>
  <c r="X2359" i="5" s="1"/>
  <c r="V2360" i="5"/>
  <c r="E2360" i="5"/>
  <c r="X2360" i="5" s="1"/>
  <c r="V2361" i="5"/>
  <c r="E2361" i="5"/>
  <c r="X2361" i="5" s="1"/>
  <c r="V2362" i="5"/>
  <c r="E2362" i="5"/>
  <c r="X2362" i="5" s="1"/>
  <c r="V2363" i="5"/>
  <c r="E2363" i="5"/>
  <c r="X2363" i="5" s="1"/>
  <c r="V2364" i="5"/>
  <c r="E2364" i="5"/>
  <c r="X2364" i="5" s="1"/>
  <c r="V2365" i="5"/>
  <c r="E2365" i="5"/>
  <c r="X2365" i="5" s="1"/>
  <c r="V2366" i="5"/>
  <c r="E2366" i="5"/>
  <c r="X2366" i="5" s="1"/>
  <c r="V2367" i="5"/>
  <c r="E2367" i="5"/>
  <c r="X2367" i="5" s="1"/>
  <c r="V2368" i="5"/>
  <c r="E2368" i="5"/>
  <c r="X2368" i="5" s="1"/>
  <c r="V2369" i="5"/>
  <c r="E2369" i="5"/>
  <c r="X2369" i="5" s="1"/>
  <c r="V2370" i="5"/>
  <c r="E2370" i="5"/>
  <c r="X2370" i="5" s="1"/>
  <c r="V2371" i="5"/>
  <c r="E2371" i="5"/>
  <c r="X2371" i="5" s="1"/>
  <c r="V2372" i="5"/>
  <c r="E2372" i="5"/>
  <c r="X2372" i="5" s="1"/>
  <c r="V2373" i="5"/>
  <c r="E2373" i="5"/>
  <c r="X2373" i="5" s="1"/>
  <c r="V2374" i="5"/>
  <c r="E2374" i="5"/>
  <c r="X2374" i="5" s="1"/>
  <c r="V2375" i="5"/>
  <c r="E2375" i="5"/>
  <c r="X2375" i="5" s="1"/>
  <c r="V2376" i="5"/>
  <c r="E2376" i="5"/>
  <c r="X2376" i="5" s="1"/>
  <c r="V2377" i="5"/>
  <c r="E2377" i="5"/>
  <c r="X2377" i="5" s="1"/>
  <c r="V2378" i="5"/>
  <c r="E2378" i="5"/>
  <c r="X2378" i="5" s="1"/>
  <c r="V2379" i="5"/>
  <c r="E2379" i="5"/>
  <c r="X2379" i="5" s="1"/>
  <c r="V2380" i="5"/>
  <c r="E2380" i="5"/>
  <c r="X2380" i="5" s="1"/>
  <c r="V2381" i="5"/>
  <c r="E2381" i="5"/>
  <c r="X2381" i="5" s="1"/>
  <c r="V2382" i="5"/>
  <c r="E2382" i="5"/>
  <c r="X2382" i="5" s="1"/>
  <c r="V2383" i="5"/>
  <c r="E2383" i="5"/>
  <c r="X2383" i="5" s="1"/>
  <c r="V2384" i="5"/>
  <c r="E2384" i="5"/>
  <c r="X2384" i="5" s="1"/>
  <c r="V2385" i="5"/>
  <c r="E2385" i="5"/>
  <c r="X2385" i="5" s="1"/>
  <c r="V2386" i="5"/>
  <c r="E2386" i="5"/>
  <c r="X2386" i="5" s="1"/>
  <c r="V2387" i="5"/>
  <c r="E2387" i="5"/>
  <c r="X2387" i="5" s="1"/>
  <c r="V2388" i="5"/>
  <c r="E2388" i="5"/>
  <c r="X2388" i="5" s="1"/>
  <c r="V2389" i="5"/>
  <c r="E2389" i="5"/>
  <c r="X2389" i="5" s="1"/>
  <c r="V2390" i="5"/>
  <c r="E2390" i="5"/>
  <c r="X2390" i="5" s="1"/>
  <c r="V2391" i="5"/>
  <c r="E2391" i="5"/>
  <c r="X2391" i="5" s="1"/>
  <c r="V2392" i="5"/>
  <c r="E2392" i="5"/>
  <c r="X2392" i="5" s="1"/>
  <c r="V2393" i="5"/>
  <c r="E2393" i="5"/>
  <c r="X2393" i="5" s="1"/>
  <c r="V2394" i="5"/>
  <c r="E2394" i="5"/>
  <c r="X2394" i="5" s="1"/>
  <c r="V2395" i="5"/>
  <c r="E2395" i="5"/>
  <c r="X2395" i="5" s="1"/>
  <c r="V2396" i="5"/>
  <c r="E2396" i="5"/>
  <c r="X2396" i="5" s="1"/>
  <c r="V2397" i="5"/>
  <c r="E2397" i="5"/>
  <c r="X2397" i="5" s="1"/>
  <c r="V2398" i="5"/>
  <c r="E2398" i="5"/>
  <c r="X2398" i="5" s="1"/>
  <c r="V2399" i="5"/>
  <c r="E2399" i="5"/>
  <c r="X2399" i="5" s="1"/>
  <c r="V2400" i="5"/>
  <c r="E2400" i="5"/>
  <c r="X2400" i="5" s="1"/>
  <c r="V2401" i="5"/>
  <c r="E2401" i="5"/>
  <c r="X2401" i="5" s="1"/>
  <c r="V2402" i="5"/>
  <c r="E2402" i="5"/>
  <c r="X2402" i="5" s="1"/>
  <c r="V2403" i="5"/>
  <c r="E2403" i="5"/>
  <c r="X2403" i="5" s="1"/>
  <c r="V2404" i="5"/>
  <c r="E2404" i="5"/>
  <c r="X2404" i="5" s="1"/>
  <c r="V2405" i="5"/>
  <c r="E2405" i="5"/>
  <c r="X2405" i="5" s="1"/>
  <c r="V2406" i="5"/>
  <c r="E2406" i="5"/>
  <c r="X2406" i="5" s="1"/>
  <c r="V2407" i="5"/>
  <c r="E2407" i="5"/>
  <c r="X2407" i="5" s="1"/>
  <c r="V2408" i="5"/>
  <c r="E2408" i="5"/>
  <c r="X2408" i="5" s="1"/>
  <c r="V2409" i="5"/>
  <c r="E2409" i="5"/>
  <c r="X2409" i="5" s="1"/>
  <c r="V2410" i="5"/>
  <c r="E2410" i="5"/>
  <c r="X2410" i="5" s="1"/>
  <c r="V2411" i="5"/>
  <c r="E2411" i="5"/>
  <c r="X2411" i="5" s="1"/>
  <c r="V2412" i="5"/>
  <c r="E2412" i="5"/>
  <c r="X2412" i="5" s="1"/>
  <c r="V2413" i="5"/>
  <c r="E2413" i="5"/>
  <c r="X2413" i="5" s="1"/>
  <c r="V2414" i="5"/>
  <c r="E2414" i="5"/>
  <c r="X2414" i="5" s="1"/>
  <c r="V2415" i="5"/>
  <c r="E2415" i="5"/>
  <c r="X2415" i="5" s="1"/>
  <c r="V2416" i="5"/>
  <c r="E2416" i="5"/>
  <c r="X2416" i="5" s="1"/>
  <c r="V2417" i="5"/>
  <c r="E2417" i="5"/>
  <c r="X2417" i="5" s="1"/>
  <c r="V2418" i="5"/>
  <c r="E2418" i="5"/>
  <c r="X2418" i="5" s="1"/>
  <c r="V2419" i="5"/>
  <c r="E2419" i="5"/>
  <c r="X2419" i="5" s="1"/>
  <c r="V2420" i="5"/>
  <c r="E2420" i="5"/>
  <c r="X2420" i="5" s="1"/>
  <c r="V2421" i="5"/>
  <c r="E2421" i="5"/>
  <c r="X2421" i="5" s="1"/>
  <c r="V2422" i="5"/>
  <c r="E2422" i="5"/>
  <c r="X2422" i="5" s="1"/>
  <c r="V2423" i="5"/>
  <c r="E2423" i="5"/>
  <c r="X2423" i="5" s="1"/>
  <c r="V2424" i="5"/>
  <c r="E2424" i="5"/>
  <c r="X2424" i="5" s="1"/>
  <c r="V2425" i="5"/>
  <c r="E2425" i="5"/>
  <c r="X2425" i="5" s="1"/>
  <c r="V2426" i="5"/>
  <c r="E2426" i="5"/>
  <c r="X2426" i="5" s="1"/>
  <c r="V2427" i="5"/>
  <c r="E2427" i="5"/>
  <c r="X2427" i="5" s="1"/>
  <c r="V2428" i="5"/>
  <c r="E2428" i="5"/>
  <c r="X2428" i="5" s="1"/>
  <c r="V2429" i="5"/>
  <c r="E2429" i="5"/>
  <c r="X2429" i="5" s="1"/>
  <c r="V2430" i="5"/>
  <c r="E2430" i="5"/>
  <c r="X2430" i="5" s="1"/>
  <c r="V2431" i="5"/>
  <c r="E2431" i="5"/>
  <c r="X2431" i="5" s="1"/>
  <c r="V2432" i="5"/>
  <c r="E2432" i="5"/>
  <c r="X2432" i="5" s="1"/>
  <c r="V2433" i="5"/>
  <c r="E2433" i="5"/>
  <c r="X2433" i="5" s="1"/>
  <c r="V2434" i="5"/>
  <c r="E2434" i="5"/>
  <c r="X2434" i="5" s="1"/>
  <c r="V2435" i="5"/>
  <c r="E2435" i="5"/>
  <c r="X2435" i="5" s="1"/>
  <c r="V2436" i="5"/>
  <c r="E2436" i="5"/>
  <c r="X2436" i="5" s="1"/>
  <c r="V2437" i="5"/>
  <c r="E2437" i="5"/>
  <c r="X2437" i="5" s="1"/>
  <c r="V2438" i="5"/>
  <c r="E2438" i="5"/>
  <c r="X2438" i="5" s="1"/>
  <c r="V2439" i="5"/>
  <c r="E2439" i="5"/>
  <c r="X2439" i="5" s="1"/>
  <c r="V2440" i="5"/>
  <c r="E2440" i="5"/>
  <c r="X2440" i="5" s="1"/>
  <c r="V2441" i="5"/>
  <c r="E2441" i="5"/>
  <c r="X2441" i="5" s="1"/>
  <c r="V2442" i="5"/>
  <c r="E2442" i="5"/>
  <c r="X2442" i="5" s="1"/>
  <c r="V2443" i="5"/>
  <c r="E2443" i="5"/>
  <c r="X2443" i="5" s="1"/>
  <c r="V2444" i="5"/>
  <c r="E2444" i="5"/>
  <c r="X2444" i="5" s="1"/>
  <c r="V2445" i="5"/>
  <c r="E2445" i="5"/>
  <c r="X2445" i="5" s="1"/>
  <c r="V2446" i="5"/>
  <c r="E2446" i="5"/>
  <c r="X2446" i="5" s="1"/>
  <c r="V2447" i="5"/>
  <c r="E2447" i="5"/>
  <c r="X2447" i="5" s="1"/>
  <c r="V2448" i="5"/>
  <c r="E2448" i="5"/>
  <c r="X2448" i="5" s="1"/>
  <c r="V2449" i="5"/>
  <c r="E2449" i="5"/>
  <c r="X2449" i="5" s="1"/>
  <c r="V2450" i="5"/>
  <c r="E2450" i="5"/>
  <c r="X2450" i="5" s="1"/>
  <c r="V2451" i="5"/>
  <c r="E2451" i="5"/>
  <c r="X2451" i="5" s="1"/>
  <c r="V2452" i="5"/>
  <c r="E2452" i="5"/>
  <c r="X2452" i="5" s="1"/>
  <c r="V2453" i="5"/>
  <c r="E2453" i="5"/>
  <c r="X2453" i="5" s="1"/>
  <c r="V2454" i="5"/>
  <c r="E2454" i="5"/>
  <c r="X2454" i="5" s="1"/>
  <c r="V2455" i="5"/>
  <c r="E2455" i="5"/>
  <c r="X2455" i="5" s="1"/>
  <c r="V2456" i="5"/>
  <c r="E2456" i="5"/>
  <c r="X2456" i="5" s="1"/>
  <c r="V2457" i="5"/>
  <c r="E2457" i="5"/>
  <c r="X2457" i="5" s="1"/>
  <c r="V2458" i="5"/>
  <c r="E2458" i="5"/>
  <c r="X2458" i="5" s="1"/>
  <c r="V2459" i="5"/>
  <c r="E2459" i="5"/>
  <c r="X2459" i="5" s="1"/>
  <c r="V2460" i="5"/>
  <c r="E2460" i="5"/>
  <c r="X2460" i="5" s="1"/>
  <c r="V2461" i="5"/>
  <c r="E2461" i="5"/>
  <c r="X2461" i="5" s="1"/>
  <c r="V2462" i="5"/>
  <c r="E2462" i="5"/>
  <c r="X2462" i="5" s="1"/>
  <c r="V2463" i="5"/>
  <c r="E2463" i="5"/>
  <c r="X2463" i="5" s="1"/>
  <c r="V2464" i="5"/>
  <c r="E2464" i="5"/>
  <c r="X2464" i="5" s="1"/>
  <c r="V2465" i="5"/>
  <c r="E2465" i="5"/>
  <c r="X2465" i="5" s="1"/>
  <c r="V2466" i="5"/>
  <c r="E2466" i="5"/>
  <c r="X2466" i="5" s="1"/>
  <c r="V2467" i="5"/>
  <c r="E2467" i="5"/>
  <c r="X2467" i="5" s="1"/>
  <c r="V2468" i="5"/>
  <c r="E2468" i="5"/>
  <c r="X2468" i="5" s="1"/>
  <c r="V2469" i="5"/>
  <c r="E2469" i="5"/>
  <c r="X2469" i="5" s="1"/>
  <c r="V2470" i="5"/>
  <c r="E2470" i="5"/>
  <c r="X2470" i="5" s="1"/>
  <c r="V2471" i="5"/>
  <c r="E2471" i="5"/>
  <c r="X2471" i="5" s="1"/>
  <c r="V2472" i="5"/>
  <c r="E2472" i="5"/>
  <c r="X2472" i="5" s="1"/>
  <c r="V2473" i="5"/>
  <c r="E2473" i="5"/>
  <c r="X2473" i="5" s="1"/>
  <c r="V2474" i="5"/>
  <c r="E2474" i="5"/>
  <c r="X2474" i="5" s="1"/>
  <c r="V2475" i="5"/>
  <c r="E2475" i="5"/>
  <c r="X2475" i="5" s="1"/>
  <c r="V2476" i="5"/>
  <c r="E2476" i="5"/>
  <c r="X2476" i="5" s="1"/>
  <c r="V2477" i="5"/>
  <c r="E2477" i="5"/>
  <c r="X2477" i="5" s="1"/>
  <c r="V2478" i="5"/>
  <c r="E2478" i="5"/>
  <c r="X2478" i="5" s="1"/>
  <c r="V2479" i="5"/>
  <c r="E2479" i="5"/>
  <c r="X2479" i="5" s="1"/>
  <c r="V2480" i="5"/>
  <c r="E2480" i="5"/>
  <c r="X2480" i="5" s="1"/>
  <c r="V2481" i="5"/>
  <c r="E2481" i="5"/>
  <c r="X2481" i="5" s="1"/>
  <c r="V2482" i="5"/>
  <c r="E2482" i="5"/>
  <c r="X2482" i="5" s="1"/>
  <c r="V2483" i="5"/>
  <c r="E2483" i="5"/>
  <c r="X2483" i="5" s="1"/>
  <c r="V2484" i="5"/>
  <c r="E2484" i="5"/>
  <c r="X2484" i="5" s="1"/>
  <c r="V2485" i="5"/>
  <c r="E2485" i="5"/>
  <c r="X2485" i="5" s="1"/>
  <c r="V2486" i="5"/>
  <c r="E2486" i="5"/>
  <c r="X2486" i="5" s="1"/>
  <c r="V2487" i="5"/>
  <c r="E2487" i="5"/>
  <c r="X2487" i="5" s="1"/>
  <c r="V2488" i="5"/>
  <c r="E2488" i="5"/>
  <c r="X2488" i="5" s="1"/>
  <c r="V2489" i="5"/>
  <c r="E2489" i="5"/>
  <c r="X2489" i="5" s="1"/>
  <c r="V2490" i="5"/>
  <c r="E2490" i="5"/>
  <c r="X2490" i="5" s="1"/>
  <c r="V2491" i="5"/>
  <c r="E2491" i="5"/>
  <c r="X2491" i="5" s="1"/>
  <c r="V2492" i="5"/>
  <c r="E2492" i="5"/>
  <c r="X2492" i="5" s="1"/>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X2504" i="5" s="1"/>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J5" i="8"/>
  <c r="K5" i="8"/>
  <c r="B10" i="6"/>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s="1"/>
  <c r="B59" i="6"/>
  <c r="G59" i="6" s="1"/>
  <c r="B58" i="6"/>
  <c r="G58" i="6"/>
  <c r="B57" i="6"/>
  <c r="G57" i="6" s="1"/>
  <c r="B56" i="6"/>
  <c r="G56" i="6" s="1"/>
  <c r="B55" i="6"/>
  <c r="G55" i="6" s="1"/>
  <c r="B54" i="6"/>
  <c r="G54" i="6"/>
  <c r="B17" i="6"/>
  <c r="B16" i="6"/>
  <c r="B15" i="6"/>
  <c r="B14" i="6"/>
  <c r="B39" i="6" s="1"/>
  <c r="G39" i="6" s="1"/>
  <c r="G14" i="6"/>
  <c r="H14" i="6" s="1"/>
  <c r="H13" i="6"/>
  <c r="B12" i="6"/>
  <c r="G12" i="6" s="1"/>
  <c r="H12" i="6" s="1"/>
  <c r="D12" i="6" s="1"/>
  <c r="B11" i="6"/>
  <c r="G11" i="6" s="1"/>
  <c r="H11" i="6" s="1"/>
  <c r="D11" i="6" s="1"/>
  <c r="G10" i="6"/>
  <c r="H10" i="6"/>
  <c r="D10" i="6" s="1"/>
  <c r="G9" i="6"/>
  <c r="H9" i="6" s="1"/>
  <c r="D9" i="6" s="1"/>
  <c r="B8" i="6"/>
  <c r="G8" i="6"/>
  <c r="H8" i="6" s="1"/>
  <c r="D8" i="6" s="1"/>
  <c r="B7" i="6"/>
  <c r="G7" i="6" s="1"/>
  <c r="H7" i="6" s="1"/>
  <c r="D7" i="6" s="1"/>
  <c r="B6" i="6"/>
  <c r="G6" i="6"/>
  <c r="B5" i="6"/>
  <c r="F6" i="6" s="1"/>
  <c r="H6" i="6" s="1"/>
  <c r="B4" i="6"/>
  <c r="G4" i="6" s="1"/>
  <c r="H4" i="6" s="1"/>
  <c r="D4" i="6" s="1"/>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S2215" i="5"/>
  <c r="S2213" i="5"/>
  <c r="S2211" i="5"/>
  <c r="S2207" i="5"/>
  <c r="S2205" i="5"/>
  <c r="F2203" i="5"/>
  <c r="S2203"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S2075" i="5"/>
  <c r="S2070" i="5"/>
  <c r="S2067" i="5"/>
  <c r="F2065" i="5"/>
  <c r="F2064" i="5"/>
  <c r="S2064" i="5"/>
  <c r="S2060" i="5"/>
  <c r="S2059" i="5"/>
  <c r="F2056"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S1704" i="5"/>
  <c r="F1692" i="5"/>
  <c r="I1689"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F1187" i="5"/>
  <c r="J1186" i="5"/>
  <c r="R1184" i="5"/>
  <c r="I1182" i="5"/>
  <c r="S1182" i="5"/>
  <c r="S1179" i="5"/>
  <c r="J1178" i="5"/>
  <c r="R1176" i="5"/>
  <c r="J1173" i="5"/>
  <c r="S1171"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R369" i="5"/>
  <c r="H368" i="5"/>
  <c r="I364" i="5"/>
  <c r="I363" i="5"/>
  <c r="I344" i="5"/>
  <c r="J338" i="5"/>
  <c r="R336" i="5"/>
  <c r="R322" i="5"/>
  <c r="R313" i="5"/>
  <c r="R283" i="5"/>
  <c r="R255" i="5"/>
  <c r="R219" i="5"/>
  <c r="R157" i="5"/>
  <c r="R153" i="5"/>
  <c r="R141" i="5"/>
  <c r="R98" i="5"/>
  <c r="R96" i="5"/>
  <c r="R84" i="5"/>
  <c r="R82" i="5"/>
  <c r="R81" i="5"/>
  <c r="R80" i="5"/>
  <c r="R78" i="5"/>
  <c r="R76" i="5"/>
  <c r="R72" i="5"/>
  <c r="R69" i="5"/>
  <c r="R64" i="5"/>
  <c r="R62" i="5"/>
  <c r="R60" i="5"/>
  <c r="R56" i="5"/>
  <c r="R52" i="5"/>
  <c r="R50" i="5"/>
  <c r="R49" i="5"/>
  <c r="R48" i="5"/>
  <c r="R46" i="5"/>
  <c r="R45" i="5"/>
  <c r="R40" i="5"/>
  <c r="R36" i="5"/>
  <c r="R34" i="5"/>
  <c r="R33" i="5"/>
  <c r="R32" i="5"/>
  <c r="R24" i="5"/>
  <c r="R20" i="5"/>
  <c r="AB18" i="5"/>
  <c r="R6" i="5"/>
  <c r="AB6" i="5"/>
  <c r="B90" i="4"/>
  <c r="H67" i="4"/>
  <c r="P47" i="4"/>
  <c r="B47" i="4" s="1"/>
  <c r="A32" i="6" s="1"/>
  <c r="P46" i="4"/>
  <c r="P45" i="4"/>
  <c r="B45" i="4" s="1"/>
  <c r="A30" i="6" s="1"/>
  <c r="P44" i="4"/>
  <c r="B44" i="4" s="1"/>
  <c r="A29" i="6" s="1"/>
  <c r="P43" i="4"/>
  <c r="Q43" i="4" s="1"/>
  <c r="P41" i="4"/>
  <c r="P40" i="4"/>
  <c r="P39" i="4"/>
  <c r="B39" i="4" s="1"/>
  <c r="B69" i="4" s="1"/>
  <c r="A50" i="6" s="1"/>
  <c r="P38" i="4"/>
  <c r="B38" i="4" s="1"/>
  <c r="B50" i="4" s="1"/>
  <c r="A34" i="6" s="1"/>
  <c r="P37" i="4"/>
  <c r="Q37" i="4" s="1"/>
  <c r="B83" i="4" s="1"/>
  <c r="A59" i="6" s="1"/>
  <c r="P35" i="4"/>
  <c r="P34" i="4"/>
  <c r="P33" i="4"/>
  <c r="P32" i="4"/>
  <c r="P31" i="4"/>
  <c r="Q31" i="4" s="1"/>
  <c r="P29" i="4"/>
  <c r="P28" i="4"/>
  <c r="P27" i="4"/>
  <c r="P26" i="4"/>
  <c r="D11" i="4"/>
  <c r="A5" i="4"/>
  <c r="Q4" i="5"/>
  <c r="S2015" i="5"/>
  <c r="AB1624" i="5"/>
  <c r="S1770" i="5"/>
  <c r="S1477" i="5"/>
  <c r="AB2465" i="5"/>
  <c r="AB720" i="5"/>
  <c r="AB841" i="5"/>
  <c r="AB1757" i="5"/>
  <c r="AB858" i="5"/>
  <c r="AB552" i="5"/>
  <c r="AB1691" i="5"/>
  <c r="AB1731" i="5"/>
  <c r="AB2088" i="5"/>
  <c r="AB410" i="5"/>
  <c r="R480" i="5"/>
  <c r="AB579" i="5"/>
  <c r="AB674" i="5"/>
  <c r="AB1293" i="5"/>
  <c r="AB1463" i="5"/>
  <c r="S2038" i="5"/>
  <c r="S853"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AB348" i="5"/>
  <c r="AB1079" i="5"/>
  <c r="AB1110" i="5"/>
  <c r="J1479" i="5"/>
  <c r="S1899" i="5"/>
  <c r="AB2480" i="5"/>
  <c r="H2499" i="5"/>
  <c r="AB164"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H33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0" i="6"/>
  <c r="F21" i="6"/>
  <c r="H1753" i="5"/>
  <c r="I764" i="5"/>
  <c r="I2158" i="5"/>
  <c r="R70" i="5"/>
  <c r="AB364" i="5"/>
  <c r="R488" i="5"/>
  <c r="H1178" i="5"/>
  <c r="J1218" i="5"/>
  <c r="J1250" i="5"/>
  <c r="AB1312" i="5"/>
  <c r="F2013" i="5"/>
  <c r="AB2065" i="5"/>
  <c r="AB2152" i="5"/>
  <c r="H2474" i="5"/>
  <c r="AB196" i="5"/>
  <c r="AB467" i="5"/>
  <c r="AB520" i="5"/>
  <c r="AB627" i="5"/>
  <c r="R731" i="5"/>
  <c r="H843" i="5"/>
  <c r="H1208" i="5"/>
  <c r="F1248" i="5"/>
  <c r="AB1753" i="5"/>
  <c r="H2013" i="5"/>
  <c r="F2433" i="5"/>
  <c r="H813" i="5"/>
  <c r="AB255" i="5"/>
  <c r="AB1165" i="5"/>
  <c r="AB1249" i="5"/>
  <c r="AB1273" i="5"/>
  <c r="AB1280" i="5"/>
  <c r="AB1317" i="5"/>
  <c r="AB1332" i="5"/>
  <c r="F1387" i="5"/>
  <c r="H1419" i="5"/>
  <c r="R1488" i="5"/>
  <c r="I1593" i="5"/>
  <c r="AB1915" i="5"/>
  <c r="F2072" i="5"/>
  <c r="AB2125" i="5"/>
  <c r="AB2273" i="5"/>
  <c r="H1250" i="5"/>
  <c r="H1443" i="5"/>
  <c r="AB372" i="5"/>
  <c r="AB376" i="5"/>
  <c r="AB380" i="5"/>
  <c r="AB1058" i="5"/>
  <c r="H1882" i="5"/>
  <c r="AB2030" i="5"/>
  <c r="AB2395" i="5"/>
  <c r="I2210" i="5"/>
  <c r="AB231" i="5"/>
  <c r="AB838" i="5"/>
  <c r="AB983" i="5"/>
  <c r="AB1288" i="5"/>
  <c r="AB1455" i="5"/>
  <c r="J1551" i="5"/>
  <c r="AB2146" i="5"/>
  <c r="AB2089" i="5"/>
  <c r="AB340" i="5"/>
  <c r="AB469" i="5"/>
  <c r="AB473" i="5"/>
  <c r="AB666" i="5"/>
  <c r="J1230" i="5"/>
  <c r="AB1241" i="5"/>
  <c r="AB1531" i="5"/>
  <c r="AB1779" i="5"/>
  <c r="J2045" i="5"/>
  <c r="AB2053" i="5"/>
  <c r="AB2225" i="5"/>
  <c r="AB2229" i="5"/>
  <c r="AB2435" i="5"/>
  <c r="I802" i="5"/>
  <c r="F802" i="5"/>
  <c r="I940" i="5"/>
  <c r="H940" i="5"/>
  <c r="R780" i="5"/>
  <c r="I780" i="5"/>
  <c r="I393" i="5"/>
  <c r="J393" i="5"/>
  <c r="F393" i="5"/>
  <c r="R630" i="5"/>
  <c r="R612" i="5"/>
  <c r="F612" i="5"/>
  <c r="H1165" i="5"/>
  <c r="F1165" i="5"/>
  <c r="F539" i="5"/>
  <c r="I539" i="5"/>
  <c r="J782" i="5"/>
  <c r="R376" i="5"/>
  <c r="F376" i="5"/>
  <c r="R301" i="5"/>
  <c r="F594" i="5"/>
  <c r="S1305" i="5"/>
  <c r="AB1743" i="5"/>
  <c r="S1743" i="5"/>
  <c r="AB1802" i="5"/>
  <c r="F1909" i="5"/>
  <c r="R1909" i="5"/>
  <c r="H1909" i="5"/>
  <c r="R2458" i="5"/>
  <c r="I2458" i="5"/>
  <c r="AB30" i="5"/>
  <c r="AB126" i="5"/>
  <c r="AB438" i="5"/>
  <c r="AB459" i="5"/>
  <c r="AB598" i="5"/>
  <c r="S714" i="5"/>
  <c r="S717" i="5"/>
  <c r="H753" i="5"/>
  <c r="AB794" i="5"/>
  <c r="S817" i="5"/>
  <c r="AB913" i="5"/>
  <c r="AB915" i="5"/>
  <c r="AB929" i="5"/>
  <c r="S1079" i="5"/>
  <c r="AB1095" i="5"/>
  <c r="S1127" i="5"/>
  <c r="AB1197" i="5"/>
  <c r="S1217" i="5"/>
  <c r="AB1276" i="5"/>
  <c r="S1276" i="5"/>
  <c r="R1520" i="5"/>
  <c r="J1520" i="5"/>
  <c r="S2440" i="5"/>
  <c r="S2214" i="5"/>
  <c r="S613" i="5"/>
  <c r="S750" i="5"/>
  <c r="S794" i="5"/>
  <c r="S838" i="5"/>
  <c r="S847" i="5"/>
  <c r="S915" i="5"/>
  <c r="S998" i="5"/>
  <c r="S1012" i="5"/>
  <c r="S1111" i="5"/>
  <c r="S1161" i="5"/>
  <c r="J1273" i="5"/>
  <c r="I1273" i="5"/>
  <c r="S1310" i="5"/>
  <c r="S1867" i="5"/>
  <c r="I2025" i="5"/>
  <c r="H2025" i="5"/>
  <c r="S2269" i="5"/>
  <c r="AB24"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H1344" i="5"/>
  <c r="S2168" i="5"/>
  <c r="S2483" i="5"/>
  <c r="AB218" i="5"/>
  <c r="AB235" i="5"/>
  <c r="AB368" i="5"/>
  <c r="AB400" i="5"/>
  <c r="AB442" i="5"/>
  <c r="AB509" i="5"/>
  <c r="J528" i="5"/>
  <c r="AB536" i="5"/>
  <c r="AB556" i="5"/>
  <c r="AB591" i="5"/>
  <c r="S671" i="5"/>
  <c r="AB710" i="5"/>
  <c r="AB845" i="5"/>
  <c r="S896" i="5"/>
  <c r="AB914" i="5"/>
  <c r="AB959" i="5"/>
  <c r="S972" i="5"/>
  <c r="AB1149" i="5"/>
  <c r="AB1177" i="5"/>
  <c r="S1284" i="5"/>
  <c r="S1644" i="5"/>
  <c r="S1793" i="5"/>
  <c r="AB1793" i="5"/>
  <c r="R2073" i="5"/>
  <c r="H2073" i="5"/>
  <c r="F2073" i="5"/>
  <c r="H2080" i="5"/>
  <c r="F2080" i="5"/>
  <c r="J2289" i="5"/>
  <c r="S2434" i="5"/>
  <c r="I2249" i="5"/>
  <c r="H2249" i="5"/>
  <c r="F2249"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AB1681" i="5"/>
  <c r="S1715" i="5"/>
  <c r="R1898" i="5"/>
  <c r="J1898" i="5"/>
  <c r="F1987" i="5"/>
  <c r="I2005" i="5"/>
  <c r="R2005" i="5"/>
  <c r="S2129" i="5"/>
  <c r="R2150" i="5"/>
  <c r="H2150" i="5"/>
  <c r="R265"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AB1574" i="5"/>
  <c r="S1592" i="5"/>
  <c r="AB1700" i="5"/>
  <c r="AB1747" i="5"/>
  <c r="S1871" i="5"/>
  <c r="AB1903" i="5"/>
  <c r="I2001" i="5"/>
  <c r="S2006" i="5"/>
  <c r="H2009" i="5"/>
  <c r="H2024" i="5"/>
  <c r="AB2093" i="5"/>
  <c r="S2290" i="5"/>
  <c r="S2435" i="5"/>
  <c r="I2450" i="5"/>
  <c r="S1274" i="5"/>
  <c r="S1291" i="5"/>
  <c r="S1294" i="5"/>
  <c r="S1301" i="5"/>
  <c r="S1304" i="5"/>
  <c r="AB1340" i="5"/>
  <c r="S1632" i="5"/>
  <c r="S1700" i="5"/>
  <c r="S1716" i="5"/>
  <c r="S1794" i="5"/>
  <c r="S1843" i="5"/>
  <c r="AB1941" i="5"/>
  <c r="H1984" i="5"/>
  <c r="R2001" i="5"/>
  <c r="AB200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AB895" i="5"/>
  <c r="S895" i="5"/>
  <c r="AB1863" i="5"/>
  <c r="S1863" i="5"/>
  <c r="R54" i="5"/>
  <c r="R189" i="5"/>
  <c r="AB210" i="5"/>
  <c r="R225" i="5"/>
  <c r="F357" i="5"/>
  <c r="R463" i="5"/>
  <c r="F586" i="5"/>
  <c r="I714" i="5"/>
  <c r="J714" i="5"/>
  <c r="S738" i="5"/>
  <c r="R94" i="5"/>
  <c r="AB170" i="5"/>
  <c r="H452" i="5"/>
  <c r="F452" i="5"/>
  <c r="S1497" i="5"/>
  <c r="R237" i="5"/>
  <c r="AB262" i="5"/>
  <c r="AB298" i="5"/>
  <c r="F451" i="5"/>
  <c r="R453" i="5"/>
  <c r="J453" i="5"/>
  <c r="H453" i="5"/>
  <c r="F453" i="5"/>
  <c r="AB1447" i="5"/>
  <c r="S1447" i="5"/>
  <c r="R22" i="5"/>
  <c r="R90" i="5"/>
  <c r="AB114" i="5"/>
  <c r="R123" i="5"/>
  <c r="I361" i="5"/>
  <c r="J361" i="5"/>
  <c r="H361" i="5"/>
  <c r="F361" i="5"/>
  <c r="I479" i="5"/>
  <c r="H479" i="5"/>
  <c r="F574" i="5"/>
  <c r="S641" i="5"/>
  <c r="R111" i="5"/>
  <c r="R171" i="5"/>
  <c r="F468" i="5"/>
  <c r="R562" i="5"/>
  <c r="I1848" i="5"/>
  <c r="H1848" i="5"/>
  <c r="AB166" i="5"/>
  <c r="R201" i="5"/>
  <c r="I461" i="5"/>
  <c r="F461" i="5"/>
  <c r="J552" i="5"/>
  <c r="H552" i="5"/>
  <c r="AB178" i="5"/>
  <c r="I392" i="5"/>
  <c r="H392" i="5"/>
  <c r="AB110" i="5"/>
  <c r="R30" i="5"/>
  <c r="R107"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604" i="5"/>
  <c r="R644" i="5"/>
  <c r="I722" i="5"/>
  <c r="J722" i="5"/>
  <c r="F788" i="5"/>
  <c r="R851" i="5"/>
  <c r="AB851" i="5"/>
  <c r="S916" i="5"/>
  <c r="S979" i="5"/>
  <c r="AB982" i="5"/>
  <c r="F986" i="5"/>
  <c r="H986" i="5"/>
  <c r="AB1026" i="5"/>
  <c r="S1026" i="5"/>
  <c r="F1086" i="5"/>
  <c r="AB1086" i="5"/>
  <c r="AB132" i="5"/>
  <c r="AB190" i="5"/>
  <c r="AB263" i="5"/>
  <c r="AB275" i="5"/>
  <c r="AB357" i="5"/>
  <c r="AB365" i="5"/>
  <c r="AB434" i="5"/>
  <c r="F498" i="5"/>
  <c r="AB551" i="5"/>
  <c r="F560" i="5"/>
  <c r="AB696" i="5"/>
  <c r="R696" i="5"/>
  <c r="S713" i="5"/>
  <c r="S745" i="5"/>
  <c r="AB808" i="5"/>
  <c r="H872" i="5"/>
  <c r="AB872" i="5"/>
  <c r="AB882" i="5"/>
  <c r="S882" i="5"/>
  <c r="S950" i="5"/>
  <c r="F975" i="5"/>
  <c r="H975" i="5"/>
  <c r="H1103" i="5"/>
  <c r="F1103" i="5"/>
  <c r="R616" i="5"/>
  <c r="S639" i="5"/>
  <c r="S649" i="5"/>
  <c r="R685" i="5"/>
  <c r="H685" i="5"/>
  <c r="S733" i="5"/>
  <c r="F768" i="5"/>
  <c r="F786" i="5"/>
  <c r="AB836" i="5"/>
  <c r="S911" i="5"/>
  <c r="S927" i="5"/>
  <c r="S938" i="5"/>
  <c r="S976" i="5"/>
  <c r="AB1014" i="5"/>
  <c r="S1014" i="5"/>
  <c r="H1075" i="5"/>
  <c r="F1075" i="5"/>
  <c r="F1083" i="5"/>
  <c r="H1083" i="5"/>
  <c r="AB207" i="5"/>
  <c r="AB215" i="5"/>
  <c r="AB282" i="5"/>
  <c r="AB356" i="5"/>
  <c r="AB451" i="5"/>
  <c r="F480" i="5"/>
  <c r="S711" i="5"/>
  <c r="S756" i="5"/>
  <c r="I786" i="5"/>
  <c r="S823" i="5"/>
  <c r="H840" i="5"/>
  <c r="F840" i="5"/>
  <c r="S859" i="5"/>
  <c r="AB869" i="5"/>
  <c r="F869" i="5"/>
  <c r="AB948" i="5"/>
  <c r="S948" i="5"/>
  <c r="F1011" i="5"/>
  <c r="AB567" i="5"/>
  <c r="R656" i="5"/>
  <c r="S690" i="5"/>
  <c r="R796" i="5"/>
  <c r="I796" i="5"/>
  <c r="F796" i="5"/>
  <c r="AB122" i="5"/>
  <c r="AB174" i="5"/>
  <c r="AB219" i="5"/>
  <c r="AB239" i="5"/>
  <c r="AB278" i="5"/>
  <c r="AB316" i="5"/>
  <c r="H393" i="5"/>
  <c r="AB396" i="5"/>
  <c r="AB404" i="5"/>
  <c r="AB414" i="5"/>
  <c r="AB422" i="5"/>
  <c r="AB458" i="5"/>
  <c r="AB468" i="5"/>
  <c r="J480" i="5"/>
  <c r="F482" i="5"/>
  <c r="F503" i="5"/>
  <c r="J646" i="5"/>
  <c r="R646" i="5"/>
  <c r="AB680" i="5"/>
  <c r="R680" i="5"/>
  <c r="J701" i="5"/>
  <c r="R701" i="5"/>
  <c r="I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S702" i="5"/>
  <c r="H707" i="5"/>
  <c r="J730" i="5"/>
  <c r="I732" i="5"/>
  <c r="AB741" i="5"/>
  <c r="S754" i="5"/>
  <c r="S774"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F1082" i="5"/>
  <c r="S1099" i="5"/>
  <c r="AB1103" i="5"/>
  <c r="H1111" i="5"/>
  <c r="AB1118" i="5"/>
  <c r="AB1157" i="5"/>
  <c r="S1157" i="5"/>
  <c r="AB1233" i="5"/>
  <c r="AB1320" i="5"/>
  <c r="H1320" i="5"/>
  <c r="AB1352" i="5"/>
  <c r="R1352" i="5"/>
  <c r="J1369" i="5"/>
  <c r="R1369" i="5"/>
  <c r="H1369" i="5"/>
  <c r="AB1385" i="5"/>
  <c r="R1385" i="5"/>
  <c r="R1506" i="5"/>
  <c r="F1506" i="5"/>
  <c r="AB835" i="5"/>
  <c r="S889" i="5"/>
  <c r="AB986" i="5"/>
  <c r="AB1034" i="5"/>
  <c r="AB1106" i="5"/>
  <c r="H1127" i="5"/>
  <c r="F1127" i="5"/>
  <c r="S1141" i="5"/>
  <c r="H1157" i="5"/>
  <c r="AB609" i="5"/>
  <c r="AB622" i="5"/>
  <c r="S647" i="5"/>
  <c r="AB662" i="5"/>
  <c r="AB671" i="5"/>
  <c r="S703" i="5"/>
  <c r="AB708" i="5"/>
  <c r="F712" i="5"/>
  <c r="S721" i="5"/>
  <c r="AB732" i="5"/>
  <c r="S734" i="5"/>
  <c r="S737" i="5"/>
  <c r="AB744" i="5"/>
  <c r="AB782" i="5"/>
  <c r="AB833" i="5"/>
  <c r="AB881" i="5"/>
  <c r="AB890" i="5"/>
  <c r="AB899" i="5"/>
  <c r="S904" i="5"/>
  <c r="F940" i="5"/>
  <c r="AB944" i="5"/>
  <c r="AB1038" i="5"/>
  <c r="S1091"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J1539" i="5"/>
  <c r="I1539" i="5"/>
  <c r="AB1554" i="5"/>
  <c r="S1628" i="5"/>
  <c r="F1661" i="5"/>
  <c r="I1889" i="5"/>
  <c r="J1889"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AB1923" i="5"/>
  <c r="S1923" i="5"/>
  <c r="S2026" i="5"/>
  <c r="AB1050" i="5"/>
  <c r="AB1131" i="5"/>
  <c r="AB1194" i="5"/>
  <c r="S1209" i="5"/>
  <c r="S1252" i="5"/>
  <c r="S1269" i="5"/>
  <c r="S1272" i="5"/>
  <c r="AB1281" i="5"/>
  <c r="AB1300" i="5"/>
  <c r="J1313" i="5"/>
  <c r="S1332" i="5"/>
  <c r="AB1348" i="5"/>
  <c r="S1370" i="5"/>
  <c r="I1406" i="5"/>
  <c r="H1406" i="5"/>
  <c r="R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AB1539" i="5"/>
  <c r="S1556" i="5"/>
  <c r="AB1561" i="5"/>
  <c r="S1608" i="5"/>
  <c r="AB1633" i="5"/>
  <c r="AB1640" i="5"/>
  <c r="AB1680" i="5"/>
  <c r="S1782" i="5"/>
  <c r="AB1851" i="5"/>
  <c r="R1957" i="5"/>
  <c r="I1957" i="5"/>
  <c r="J1957" i="5"/>
  <c r="AB1960" i="5"/>
  <c r="I2037" i="5"/>
  <c r="R2037" i="5"/>
  <c r="H2037" i="5"/>
  <c r="F2037" i="5"/>
  <c r="J2037" i="5"/>
  <c r="S2206" i="5"/>
  <c r="AB2236" i="5"/>
  <c r="S2236" i="5"/>
  <c r="AB1209" i="5"/>
  <c r="S1277" i="5"/>
  <c r="J1524" i="5"/>
  <c r="R1524" i="5"/>
  <c r="F1637" i="5"/>
  <c r="S1660"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H1245" i="5"/>
  <c r="I1246" i="5"/>
  <c r="S1250" i="5"/>
  <c r="S1253" i="5"/>
  <c r="S1281" i="5"/>
  <c r="AB1301" i="5"/>
  <c r="I1305" i="5"/>
  <c r="AB1309" i="5"/>
  <c r="S1333" i="5"/>
  <c r="S1344" i="5"/>
  <c r="AB1349" i="5"/>
  <c r="AB1382" i="5"/>
  <c r="AB1393" i="5"/>
  <c r="AB1397" i="5"/>
  <c r="AB1454" i="5"/>
  <c r="H1470" i="5"/>
  <c r="F1470" i="5"/>
  <c r="AB1491"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F2053" i="5"/>
  <c r="R2065" i="5"/>
  <c r="J2065" i="5"/>
  <c r="H2065" i="5"/>
  <c r="F2184" i="5"/>
  <c r="F2257" i="5"/>
  <c r="J2350" i="5"/>
  <c r="F2350" i="5"/>
  <c r="AB1660" i="5"/>
  <c r="AB1746" i="5"/>
  <c r="AB1819" i="5"/>
  <c r="I2021" i="5"/>
  <c r="R2021" i="5"/>
  <c r="S2252" i="5"/>
  <c r="AB2252" i="5"/>
  <c r="S2342" i="5"/>
  <c r="S2379" i="5"/>
  <c r="AB2379" i="5"/>
  <c r="AB2401" i="5"/>
  <c r="AB1551" i="5"/>
  <c r="AB1553" i="5"/>
  <c r="AB1602" i="5"/>
  <c r="AB1636" i="5"/>
  <c r="AB1637" i="5"/>
  <c r="AB1677" i="5"/>
  <c r="AB1871" i="5"/>
  <c r="S1874" i="5"/>
  <c r="AB1880" i="5"/>
  <c r="S1903" i="5"/>
  <c r="AB1936" i="5"/>
  <c r="S2010" i="5"/>
  <c r="AB2048" i="5"/>
  <c r="F2185" i="5"/>
  <c r="I2185" i="5"/>
  <c r="H2185" i="5"/>
  <c r="S2352" i="5"/>
  <c r="R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R2340" i="5"/>
  <c r="F2340" i="5"/>
  <c r="R2373" i="5"/>
  <c r="J2373" i="5"/>
  <c r="I2373" i="5"/>
  <c r="AB1831" i="5"/>
  <c r="S1834" i="5"/>
  <c r="AB1864" i="5"/>
  <c r="R1890" i="5"/>
  <c r="S2018" i="5"/>
  <c r="S2031" i="5"/>
  <c r="S2035" i="5"/>
  <c r="I2245" i="5"/>
  <c r="R2245" i="5"/>
  <c r="J2245" i="5"/>
  <c r="H2245" i="5"/>
  <c r="F2245" i="5"/>
  <c r="I2273" i="5"/>
  <c r="H2273" i="5"/>
  <c r="F2356" i="5"/>
  <c r="R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AB2439" i="5"/>
  <c r="S2079" i="5"/>
  <c r="S2100" i="5"/>
  <c r="S2172" i="5"/>
  <c r="I2194" i="5"/>
  <c r="S2220" i="5"/>
  <c r="S2222" i="5"/>
  <c r="S2250" i="5"/>
  <c r="I2282" i="5"/>
  <c r="S2308" i="5"/>
  <c r="S2321" i="5"/>
  <c r="S2334" i="5"/>
  <c r="S2392" i="5"/>
  <c r="S2407" i="5"/>
  <c r="S2412" i="5"/>
  <c r="S2432" i="5"/>
  <c r="J2457" i="5"/>
  <c r="S2464" i="5"/>
  <c r="AB1947" i="5"/>
  <c r="AB1959" i="5"/>
  <c r="AB1968" i="5"/>
  <c r="AB1976"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133" i="5"/>
  <c r="R169" i="5"/>
  <c r="R195" i="5"/>
  <c r="R177" i="5"/>
  <c r="R183" i="5"/>
  <c r="R93" i="5"/>
  <c r="R99" i="5"/>
  <c r="R135" i="5"/>
  <c r="R159" i="5"/>
  <c r="I373" i="5"/>
  <c r="R373" i="5"/>
  <c r="J373" i="5"/>
  <c r="H373" i="5"/>
  <c r="F373" i="5"/>
  <c r="R27" i="5"/>
  <c r="R51" i="5"/>
  <c r="R199" i="5"/>
  <c r="R57" i="5"/>
  <c r="R105" i="5"/>
  <c r="R223" i="5"/>
  <c r="R229" i="5"/>
  <c r="R337" i="5"/>
  <c r="J337" i="5"/>
  <c r="H337" i="5"/>
  <c r="F337" i="5"/>
  <c r="R249" i="5"/>
  <c r="R39" i="5"/>
  <c r="AB140" i="5"/>
  <c r="AB156" i="5"/>
  <c r="AB160" i="5"/>
  <c r="AB204" i="5"/>
  <c r="AB211" i="5"/>
  <c r="R231" i="5"/>
  <c r="R267" i="5"/>
  <c r="R289" i="5"/>
  <c r="R295" i="5"/>
  <c r="I347" i="5"/>
  <c r="F347" i="5"/>
  <c r="R360" i="5"/>
  <c r="F360" i="5"/>
  <c r="R404" i="5"/>
  <c r="I404" i="5"/>
  <c r="I437" i="5"/>
  <c r="R437" i="5"/>
  <c r="J437" i="5"/>
  <c r="H437" i="5"/>
  <c r="R444" i="5"/>
  <c r="I444" i="5"/>
  <c r="H444" i="5"/>
  <c r="I448" i="5"/>
  <c r="H448" i="5"/>
  <c r="F448" i="5"/>
  <c r="AB455" i="5"/>
  <c r="I457" i="5"/>
  <c r="R457" i="5"/>
  <c r="J457" i="5"/>
  <c r="F457" i="5"/>
  <c r="J492" i="5"/>
  <c r="H492" i="5"/>
  <c r="R492" i="5"/>
  <c r="J548" i="5"/>
  <c r="H548" i="5"/>
  <c r="F548" i="5"/>
  <c r="R693" i="5"/>
  <c r="J693" i="5"/>
  <c r="H693" i="5"/>
  <c r="R699" i="5"/>
  <c r="H699" i="5"/>
  <c r="R704" i="5"/>
  <c r="H704" i="5"/>
  <c r="AB222" i="5"/>
  <c r="AB254" i="5"/>
  <c r="AB258" i="5"/>
  <c r="AB270" i="5"/>
  <c r="AB363" i="5"/>
  <c r="I369" i="5"/>
  <c r="J369" i="5"/>
  <c r="H369" i="5"/>
  <c r="F369" i="5"/>
  <c r="I389" i="5"/>
  <c r="R389" i="5"/>
  <c r="J389" i="5"/>
  <c r="H389" i="5"/>
  <c r="F389" i="5"/>
  <c r="H404" i="5"/>
  <c r="I421" i="5"/>
  <c r="R421" i="5"/>
  <c r="J421" i="5"/>
  <c r="H421" i="5"/>
  <c r="R428" i="5"/>
  <c r="I428" i="5"/>
  <c r="H428" i="5"/>
  <c r="I432" i="5"/>
  <c r="H432" i="5"/>
  <c r="F432" i="5"/>
  <c r="F437" i="5"/>
  <c r="R620" i="5"/>
  <c r="J620" i="5"/>
  <c r="F620" i="5"/>
  <c r="AB307" i="5"/>
  <c r="I341" i="5"/>
  <c r="R341" i="5"/>
  <c r="J341" i="5"/>
  <c r="H341" i="5"/>
  <c r="F341" i="5"/>
  <c r="I397" i="5"/>
  <c r="R397" i="5"/>
  <c r="J397" i="5"/>
  <c r="H397" i="5"/>
  <c r="F397" i="5"/>
  <c r="R42" i="5"/>
  <c r="AB118" i="5"/>
  <c r="AB130" i="5"/>
  <c r="AB182" i="5"/>
  <c r="AB194" i="5"/>
  <c r="AB315" i="5"/>
  <c r="R325" i="5"/>
  <c r="AB330" i="5"/>
  <c r="I348" i="5"/>
  <c r="R348" i="5"/>
  <c r="H348" i="5"/>
  <c r="F348" i="5"/>
  <c r="I353" i="5"/>
  <c r="R353" i="5"/>
  <c r="J353" i="5"/>
  <c r="H353" i="5"/>
  <c r="F353" i="5"/>
  <c r="R356" i="5"/>
  <c r="I356" i="5"/>
  <c r="I380" i="5"/>
  <c r="R380" i="5"/>
  <c r="F380" i="5"/>
  <c r="AB395" i="5"/>
  <c r="H400" i="5"/>
  <c r="F400" i="5"/>
  <c r="I409" i="5"/>
  <c r="J409" i="5"/>
  <c r="H409" i="5"/>
  <c r="F409" i="5"/>
  <c r="F428" i="5"/>
  <c r="I445" i="5"/>
  <c r="R445" i="5"/>
  <c r="J445" i="5"/>
  <c r="H445" i="5"/>
  <c r="R516" i="5"/>
  <c r="H516" i="5"/>
  <c r="R532" i="5"/>
  <c r="H532" i="5"/>
  <c r="R660" i="5"/>
  <c r="F660" i="5"/>
  <c r="AB867" i="5"/>
  <c r="J867" i="5"/>
  <c r="S1003" i="5"/>
  <c r="AB1003" i="5"/>
  <c r="AB290" i="5"/>
  <c r="I349" i="5"/>
  <c r="J349" i="5"/>
  <c r="H349" i="5"/>
  <c r="F349" i="5"/>
  <c r="I381" i="5"/>
  <c r="J381" i="5"/>
  <c r="H381" i="5"/>
  <c r="F381" i="5"/>
  <c r="I408" i="5"/>
  <c r="H408" i="5"/>
  <c r="F408" i="5"/>
  <c r="I425" i="5"/>
  <c r="J425" i="5"/>
  <c r="H425" i="5"/>
  <c r="F425" i="5"/>
  <c r="R58" i="5"/>
  <c r="AB26" i="5"/>
  <c r="AB22" i="5"/>
  <c r="R63" i="5"/>
  <c r="AB108" i="5"/>
  <c r="AB124" i="5"/>
  <c r="AB128" i="5"/>
  <c r="AB146" i="5"/>
  <c r="R147" i="5"/>
  <c r="AB172" i="5"/>
  <c r="AB188" i="5"/>
  <c r="AB192" i="5"/>
  <c r="AB206" i="5"/>
  <c r="AB214" i="5"/>
  <c r="AB226" i="5"/>
  <c r="R273" i="5"/>
  <c r="R285" i="5"/>
  <c r="R291" i="5"/>
  <c r="AB294" i="5"/>
  <c r="AB337" i="5"/>
  <c r="H356" i="5"/>
  <c r="AB383" i="5"/>
  <c r="I400" i="5"/>
  <c r="I405" i="5"/>
  <c r="R405" i="5"/>
  <c r="J405" i="5"/>
  <c r="H405" i="5"/>
  <c r="R409" i="5"/>
  <c r="R412" i="5"/>
  <c r="I412" i="5"/>
  <c r="H412" i="5"/>
  <c r="I416" i="5"/>
  <c r="H416" i="5"/>
  <c r="F416" i="5"/>
  <c r="F421" i="5"/>
  <c r="I433" i="5"/>
  <c r="J433" i="5"/>
  <c r="H433" i="5"/>
  <c r="F433" i="5"/>
  <c r="I449" i="5"/>
  <c r="R449" i="5"/>
  <c r="J449" i="5"/>
  <c r="H449" i="5"/>
  <c r="F449" i="5"/>
  <c r="AB471" i="5"/>
  <c r="AB477" i="5"/>
  <c r="AB529" i="5"/>
  <c r="R606" i="5"/>
  <c r="F606" i="5"/>
  <c r="J642" i="5"/>
  <c r="R642" i="5"/>
  <c r="F642" i="5"/>
  <c r="H844" i="5"/>
  <c r="J844" i="5"/>
  <c r="AB266" i="5"/>
  <c r="AB134" i="5"/>
  <c r="AB142" i="5"/>
  <c r="AB198" i="5"/>
  <c r="AB306" i="5"/>
  <c r="AB323" i="5"/>
  <c r="I345" i="5"/>
  <c r="R345" i="5"/>
  <c r="J345" i="5"/>
  <c r="H345" i="5"/>
  <c r="AB349" i="5"/>
  <c r="AB381" i="5"/>
  <c r="I385" i="5"/>
  <c r="R385" i="5"/>
  <c r="J385" i="5"/>
  <c r="H385" i="5"/>
  <c r="F385" i="5"/>
  <c r="I429" i="5"/>
  <c r="R429" i="5"/>
  <c r="J429" i="5"/>
  <c r="H429" i="5"/>
  <c r="R436" i="5"/>
  <c r="I436" i="5"/>
  <c r="H436" i="5"/>
  <c r="I440" i="5"/>
  <c r="H440" i="5"/>
  <c r="F440" i="5"/>
  <c r="R456" i="5"/>
  <c r="I456" i="5"/>
  <c r="H456" i="5"/>
  <c r="R760" i="5"/>
  <c r="I760" i="5"/>
  <c r="F760" i="5"/>
  <c r="AB138" i="5"/>
  <c r="AB154" i="5"/>
  <c r="AB158" i="5"/>
  <c r="AB202" i="5"/>
  <c r="AB223" i="5"/>
  <c r="AB238" i="5"/>
  <c r="AB246" i="5"/>
  <c r="AB259" i="5"/>
  <c r="AB274" i="5"/>
  <c r="R333" i="5"/>
  <c r="I357" i="5"/>
  <c r="R357" i="5"/>
  <c r="J357" i="5"/>
  <c r="H357" i="5"/>
  <c r="R364" i="5"/>
  <c r="R368" i="5"/>
  <c r="F368" i="5"/>
  <c r="R396" i="5"/>
  <c r="I396" i="5"/>
  <c r="H396" i="5"/>
  <c r="F396" i="5"/>
  <c r="I417" i="5"/>
  <c r="J417" i="5"/>
  <c r="H417" i="5"/>
  <c r="F417" i="5"/>
  <c r="F436" i="5"/>
  <c r="F456" i="5"/>
  <c r="H511" i="5"/>
  <c r="H523" i="5"/>
  <c r="F523" i="5"/>
  <c r="R566" i="5"/>
  <c r="F566" i="5"/>
  <c r="J638" i="5"/>
  <c r="R638" i="5"/>
  <c r="F638" i="5"/>
  <c r="I726" i="5"/>
  <c r="F726" i="5"/>
  <c r="I742" i="5"/>
  <c r="F742" i="5"/>
  <c r="AB322" i="5"/>
  <c r="AB32" i="5"/>
  <c r="R145" i="5"/>
  <c r="AB162" i="5"/>
  <c r="R165" i="5"/>
  <c r="AB227" i="5"/>
  <c r="AB247" i="5"/>
  <c r="R309" i="5"/>
  <c r="AB314" i="5"/>
  <c r="R321" i="5"/>
  <c r="AB331" i="5"/>
  <c r="F345" i="5"/>
  <c r="R349" i="5"/>
  <c r="I377" i="5"/>
  <c r="R377" i="5"/>
  <c r="J377" i="5"/>
  <c r="H377" i="5"/>
  <c r="F377" i="5"/>
  <c r="R381" i="5"/>
  <c r="R388" i="5"/>
  <c r="I388" i="5"/>
  <c r="H388" i="5"/>
  <c r="F388" i="5"/>
  <c r="I401" i="5"/>
  <c r="H401" i="5"/>
  <c r="F401" i="5"/>
  <c r="I413" i="5"/>
  <c r="R413" i="5"/>
  <c r="J413" i="5"/>
  <c r="H413" i="5"/>
  <c r="R420" i="5"/>
  <c r="I420" i="5"/>
  <c r="H420" i="5"/>
  <c r="I424" i="5"/>
  <c r="H424" i="5"/>
  <c r="F424" i="5"/>
  <c r="F429" i="5"/>
  <c r="I441" i="5"/>
  <c r="J441" i="5"/>
  <c r="H441" i="5"/>
  <c r="F441" i="5"/>
  <c r="R448" i="5"/>
  <c r="AB545" i="5"/>
  <c r="J508" i="5"/>
  <c r="J540" i="5"/>
  <c r="R544" i="5"/>
  <c r="J544" i="5"/>
  <c r="H544" i="5"/>
  <c r="F564" i="5"/>
  <c r="R564" i="5"/>
  <c r="AB611" i="5"/>
  <c r="AB623" i="5"/>
  <c r="S623" i="5"/>
  <c r="S655" i="5"/>
  <c r="I666" i="5"/>
  <c r="R666" i="5"/>
  <c r="J666" i="5"/>
  <c r="F666" i="5"/>
  <c r="S704" i="5"/>
  <c r="AB704" i="5"/>
  <c r="I734" i="5"/>
  <c r="J734" i="5"/>
  <c r="F734" i="5"/>
  <c r="AB752" i="5"/>
  <c r="R752" i="5"/>
  <c r="AB849" i="5"/>
  <c r="S849" i="5"/>
  <c r="H1006" i="5"/>
  <c r="F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R626" i="5"/>
  <c r="F626" i="5"/>
  <c r="I658" i="5"/>
  <c r="R658" i="5"/>
  <c r="J658" i="5"/>
  <c r="F658" i="5"/>
  <c r="AB661" i="5"/>
  <c r="R683" i="5"/>
  <c r="H683" i="5"/>
  <c r="S724" i="5"/>
  <c r="AB724" i="5"/>
  <c r="H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R560" i="5"/>
  <c r="J560" i="5"/>
  <c r="H560" i="5"/>
  <c r="AB563" i="5"/>
  <c r="R582" i="5"/>
  <c r="F582" i="5"/>
  <c r="R628" i="5"/>
  <c r="J628" i="5"/>
  <c r="F628" i="5"/>
  <c r="AB631" i="5"/>
  <c r="I694" i="5"/>
  <c r="J694" i="5"/>
  <c r="F694" i="5"/>
  <c r="J724" i="5"/>
  <c r="I724" i="5"/>
  <c r="F831" i="5"/>
  <c r="R831" i="5"/>
  <c r="H831" i="5"/>
  <c r="I453" i="5"/>
  <c r="H512" i="5"/>
  <c r="R512" i="5"/>
  <c r="F512" i="5"/>
  <c r="R598" i="5"/>
  <c r="F598" i="5"/>
  <c r="R618" i="5"/>
  <c r="R691" i="5"/>
  <c r="H691" i="5"/>
  <c r="H814" i="5"/>
  <c r="J828" i="5"/>
  <c r="H828" i="5"/>
  <c r="F828" i="5"/>
  <c r="S884" i="5"/>
  <c r="AB971" i="5"/>
  <c r="S971" i="5"/>
  <c r="AB234" i="5"/>
  <c r="AB250" i="5"/>
  <c r="AB271" i="5"/>
  <c r="AB286" i="5"/>
  <c r="AB291" i="5"/>
  <c r="AB304" i="5"/>
  <c r="AB371" i="5"/>
  <c r="R372"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S698" i="5"/>
  <c r="S716" i="5"/>
  <c r="AB716" i="5"/>
  <c r="F736" i="5"/>
  <c r="J736" i="5"/>
  <c r="I736" i="5"/>
  <c r="S746" i="5"/>
  <c r="R776" i="5"/>
  <c r="I776" i="5"/>
  <c r="F776" i="5"/>
  <c r="H790" i="5"/>
  <c r="J790" i="5"/>
  <c r="I790" i="5"/>
  <c r="F790" i="5"/>
  <c r="R933" i="5"/>
  <c r="J933" i="5"/>
  <c r="F933" i="5"/>
  <c r="AB955" i="5"/>
  <c r="S955" i="5"/>
  <c r="S962" i="5"/>
  <c r="AB967" i="5"/>
  <c r="J967" i="5"/>
  <c r="H1018" i="5"/>
  <c r="F1018" i="5"/>
  <c r="H1114" i="5"/>
  <c r="F1114" i="5"/>
  <c r="AB287" i="5"/>
  <c r="AB309" i="5"/>
  <c r="AB317" i="5"/>
  <c r="AB325" i="5"/>
  <c r="AB335" i="5"/>
  <c r="AB413" i="5"/>
  <c r="AB421" i="5"/>
  <c r="AB429" i="5"/>
  <c r="AB437" i="5"/>
  <c r="AB445" i="5"/>
  <c r="I455" i="5"/>
  <c r="AB463" i="5"/>
  <c r="H491" i="5"/>
  <c r="F491" i="5"/>
  <c r="H495" i="5"/>
  <c r="AB504" i="5"/>
  <c r="H508" i="5"/>
  <c r="J512" i="5"/>
  <c r="H540" i="5"/>
  <c r="F544" i="5"/>
  <c r="AB559" i="5"/>
  <c r="R614" i="5"/>
  <c r="AB619" i="5"/>
  <c r="S619" i="5"/>
  <c r="F624" i="5"/>
  <c r="R624" i="5"/>
  <c r="J624" i="5"/>
  <c r="R692" i="5"/>
  <c r="J692" i="5"/>
  <c r="I692" i="5"/>
  <c r="J708" i="5"/>
  <c r="I708" i="5"/>
  <c r="J716" i="5"/>
  <c r="I716" i="5"/>
  <c r="F716" i="5"/>
  <c r="F720" i="5"/>
  <c r="J728" i="5"/>
  <c r="F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R568" i="5"/>
  <c r="J568" i="5"/>
  <c r="F572" i="5"/>
  <c r="R572" i="5"/>
  <c r="R610" i="5"/>
  <c r="F610" i="5"/>
  <c r="R622" i="5"/>
  <c r="F622" i="5"/>
  <c r="H632" i="5"/>
  <c r="AB635" i="5"/>
  <c r="S635" i="5"/>
  <c r="I654" i="5"/>
  <c r="R654" i="5"/>
  <c r="J654" i="5"/>
  <c r="F654" i="5"/>
  <c r="H757" i="5"/>
  <c r="R767" i="5"/>
  <c r="S821" i="5"/>
  <c r="J826" i="5"/>
  <c r="I826" i="5"/>
  <c r="F826" i="5"/>
  <c r="F1059" i="5"/>
  <c r="J1059" i="5"/>
  <c r="H1059" i="5"/>
  <c r="H1062" i="5"/>
  <c r="H1070" i="5"/>
  <c r="F1070" i="5"/>
  <c r="AB645" i="5"/>
  <c r="J652" i="5"/>
  <c r="AB655" i="5"/>
  <c r="I668" i="5"/>
  <c r="S679" i="5"/>
  <c r="J744" i="5"/>
  <c r="AB746" i="5"/>
  <c r="H758" i="5"/>
  <c r="AB762" i="5"/>
  <c r="R772" i="5"/>
  <c r="H798" i="5"/>
  <c r="I798" i="5"/>
  <c r="F798" i="5"/>
  <c r="R800" i="5"/>
  <c r="F800" i="5"/>
  <c r="F804" i="5"/>
  <c r="AB807" i="5"/>
  <c r="AB839" i="5"/>
  <c r="S839" i="5"/>
  <c r="AB843" i="5"/>
  <c r="S854" i="5"/>
  <c r="H862" i="5"/>
  <c r="J862" i="5"/>
  <c r="S870" i="5"/>
  <c r="AB891" i="5"/>
  <c r="J891" i="5"/>
  <c r="S900" i="5"/>
  <c r="R913" i="5"/>
  <c r="F913" i="5"/>
  <c r="J939" i="5"/>
  <c r="H939" i="5"/>
  <c r="J948" i="5"/>
  <c r="H948" i="5"/>
  <c r="J971" i="5"/>
  <c r="S983" i="5"/>
  <c r="S1023" i="5"/>
  <c r="H1038" i="5"/>
  <c r="F1038" i="5"/>
  <c r="J1043" i="5"/>
  <c r="H1043" i="5"/>
  <c r="F1043" i="5"/>
  <c r="AB1046" i="5"/>
  <c r="S1046" i="5"/>
  <c r="H1054" i="5"/>
  <c r="F1054" i="5"/>
  <c r="H1078" i="5"/>
  <c r="S1265" i="5"/>
  <c r="AB1265" i="5"/>
  <c r="AB602" i="5"/>
  <c r="J612" i="5"/>
  <c r="AB629" i="5"/>
  <c r="AB634" i="5"/>
  <c r="AB650" i="5"/>
  <c r="R652" i="5"/>
  <c r="H662" i="5"/>
  <c r="AB667" i="5"/>
  <c r="R668" i="5"/>
  <c r="AB673" i="5"/>
  <c r="J674" i="5"/>
  <c r="AB678" i="5"/>
  <c r="AB700" i="5"/>
  <c r="AB725" i="5"/>
  <c r="AB733" i="5"/>
  <c r="AB740" i="5"/>
  <c r="AB742" i="5"/>
  <c r="AB754" i="5"/>
  <c r="R764" i="5"/>
  <c r="AB766" i="5"/>
  <c r="R766" i="5"/>
  <c r="H778" i="5"/>
  <c r="J778" i="5"/>
  <c r="H824" i="5"/>
  <c r="S828" i="5"/>
  <c r="AB828" i="5"/>
  <c r="F835" i="5"/>
  <c r="AB852" i="5"/>
  <c r="I852" i="5"/>
  <c r="H865" i="5"/>
  <c r="F865" i="5"/>
  <c r="S868" i="5"/>
  <c r="AB885" i="5"/>
  <c r="S930" i="5"/>
  <c r="J934" i="5"/>
  <c r="S943" i="5"/>
  <c r="S951" i="5"/>
  <c r="S958" i="5"/>
  <c r="F978" i="5"/>
  <c r="H978" i="5"/>
  <c r="F990" i="5"/>
  <c r="R1009" i="5"/>
  <c r="F1009" i="5"/>
  <c r="S1027" i="5"/>
  <c r="H1034" i="5"/>
  <c r="F1034" i="5"/>
  <c r="H1046" i="5"/>
  <c r="H1091" i="5"/>
  <c r="J1091" i="5"/>
  <c r="F1091" i="5"/>
  <c r="H1118" i="5"/>
  <c r="F1118" i="5"/>
  <c r="R1132" i="5"/>
  <c r="J1185" i="5"/>
  <c r="AB679" i="5"/>
  <c r="S770" i="5"/>
  <c r="H782" i="5"/>
  <c r="I782" i="5"/>
  <c r="F782" i="5"/>
  <c r="R784" i="5"/>
  <c r="F784" i="5"/>
  <c r="S790" i="5"/>
  <c r="H802" i="5"/>
  <c r="J802" i="5"/>
  <c r="R804" i="5"/>
  <c r="I812" i="5"/>
  <c r="R812" i="5"/>
  <c r="S815" i="5"/>
  <c r="S837" i="5"/>
  <c r="S840" i="5"/>
  <c r="AB840" i="5"/>
  <c r="H878" i="5"/>
  <c r="F878" i="5"/>
  <c r="R885" i="5"/>
  <c r="J885" i="5"/>
  <c r="F885" i="5"/>
  <c r="AB935" i="5"/>
  <c r="S935" i="5"/>
  <c r="R953" i="5"/>
  <c r="F953" i="5"/>
  <c r="S1004" i="5"/>
  <c r="AB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J1027" i="5"/>
  <c r="H1027" i="5"/>
  <c r="F1027" i="5"/>
  <c r="AB1030" i="5"/>
  <c r="S1030" i="5"/>
  <c r="J1047" i="5"/>
  <c r="H1047" i="5"/>
  <c r="H1050" i="5"/>
  <c r="F1050" i="5"/>
  <c r="H1063" i="5"/>
  <c r="J1063" i="5"/>
  <c r="F1063" i="5"/>
  <c r="S1087" i="5"/>
  <c r="AB1087" i="5"/>
  <c r="S1108" i="5"/>
  <c r="H1130" i="5"/>
  <c r="F1130" i="5"/>
  <c r="R1147" i="5"/>
  <c r="H1147" i="5"/>
  <c r="J1147" i="5"/>
  <c r="F1147" i="5"/>
  <c r="AB452" i="5"/>
  <c r="F616" i="5"/>
  <c r="AB625" i="5"/>
  <c r="AB637" i="5"/>
  <c r="AB653" i="5"/>
  <c r="AB657" i="5"/>
  <c r="S663" i="5"/>
  <c r="I676" i="5"/>
  <c r="S695" i="5"/>
  <c r="H700" i="5"/>
  <c r="AB709" i="5"/>
  <c r="J710" i="5"/>
  <c r="AB717" i="5"/>
  <c r="H718" i="5"/>
  <c r="F746" i="5"/>
  <c r="I748" i="5"/>
  <c r="F758" i="5"/>
  <c r="S772" i="5"/>
  <c r="AB774" i="5"/>
  <c r="R774" i="5"/>
  <c r="R783" i="5"/>
  <c r="H786" i="5"/>
  <c r="J786" i="5"/>
  <c r="R792" i="5"/>
  <c r="F792" i="5"/>
  <c r="AB798" i="5"/>
  <c r="S809" i="5"/>
  <c r="H812" i="5"/>
  <c r="AB824" i="5"/>
  <c r="S843" i="5"/>
  <c r="S851" i="5"/>
  <c r="S866" i="5"/>
  <c r="S871" i="5"/>
  <c r="J894" i="5"/>
  <c r="F894" i="5"/>
  <c r="J910" i="5"/>
  <c r="H910" i="5"/>
  <c r="R917" i="5"/>
  <c r="F917" i="5"/>
  <c r="H935" i="5"/>
  <c r="F935" i="5"/>
  <c r="J938" i="5"/>
  <c r="H938" i="5"/>
  <c r="AB951" i="5"/>
  <c r="R969" i="5"/>
  <c r="F969" i="5"/>
  <c r="J1019" i="5"/>
  <c r="H1019" i="5"/>
  <c r="F1019" i="5"/>
  <c r="AB1027" i="5"/>
  <c r="F1047" i="5"/>
  <c r="F1087" i="5"/>
  <c r="J1087" i="5"/>
  <c r="H1087" i="5"/>
  <c r="AB1119" i="5"/>
  <c r="S111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J812" i="5"/>
  <c r="F830" i="5"/>
  <c r="F832" i="5"/>
  <c r="AB834" i="5"/>
  <c r="S834" i="5"/>
  <c r="AB846" i="5"/>
  <c r="F862" i="5"/>
  <c r="AB866" i="5"/>
  <c r="S872" i="5"/>
  <c r="R881" i="5"/>
  <c r="F881" i="5"/>
  <c r="AB883" i="5"/>
  <c r="S902" i="5"/>
  <c r="F910" i="5"/>
  <c r="J917" i="5"/>
  <c r="J995" i="5"/>
  <c r="H995" i="5"/>
  <c r="F995" i="5"/>
  <c r="J999" i="5"/>
  <c r="H999" i="5"/>
  <c r="F999" i="5"/>
  <c r="AB1002" i="5"/>
  <c r="S1002" i="5"/>
  <c r="S1100" i="5"/>
  <c r="S1169" i="5"/>
  <c r="AB1169" i="5"/>
  <c r="AB606" i="5"/>
  <c r="J616" i="5"/>
  <c r="F630" i="5"/>
  <c r="F652" i="5"/>
  <c r="F668" i="5"/>
  <c r="AB670" i="5"/>
  <c r="H688" i="5"/>
  <c r="S697" i="5"/>
  <c r="J700" i="5"/>
  <c r="H738" i="5"/>
  <c r="I740" i="5"/>
  <c r="J758" i="5"/>
  <c r="R768" i="5"/>
  <c r="I768" i="5"/>
  <c r="F772" i="5"/>
  <c r="R788" i="5"/>
  <c r="I788" i="5"/>
  <c r="J798" i="5"/>
  <c r="I800" i="5"/>
  <c r="S804" i="5"/>
  <c r="AB812" i="5"/>
  <c r="J820" i="5"/>
  <c r="F820" i="5"/>
  <c r="H825" i="5"/>
  <c r="J825" i="5"/>
  <c r="AB829" i="5"/>
  <c r="J832" i="5"/>
  <c r="J848" i="5"/>
  <c r="H848" i="5"/>
  <c r="S887" i="5"/>
  <c r="H926" i="5"/>
  <c r="J926" i="5"/>
  <c r="F926"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J1166" i="5"/>
  <c r="S1172" i="5"/>
  <c r="S1173" i="5"/>
  <c r="S1180" i="5"/>
  <c r="S1181" i="5"/>
  <c r="S1185" i="5"/>
  <c r="S1189" i="5"/>
  <c r="AB1202" i="5"/>
  <c r="S1202" i="5"/>
  <c r="S1205" i="5"/>
  <c r="AB1205" i="5"/>
  <c r="AB1213" i="5"/>
  <c r="R1229" i="5"/>
  <c r="H1229" i="5"/>
  <c r="F1229" i="5"/>
  <c r="J1229" i="5"/>
  <c r="S1311" i="5"/>
  <c r="AB822" i="5"/>
  <c r="S883" i="5"/>
  <c r="AB920" i="5"/>
  <c r="S939" i="5"/>
  <c r="AB940" i="5"/>
  <c r="AB952" i="5"/>
  <c r="F973" i="5"/>
  <c r="S975" i="5"/>
  <c r="AB979" i="5"/>
  <c r="S991" i="5"/>
  <c r="S1006" i="5"/>
  <c r="J1011" i="5"/>
  <c r="J1031" i="5"/>
  <c r="R1035" i="5"/>
  <c r="AB1039" i="5"/>
  <c r="S1051" i="5"/>
  <c r="I1055" i="5"/>
  <c r="J1083" i="5"/>
  <c r="S1094" i="5"/>
  <c r="S1102" i="5"/>
  <c r="S1103" i="5"/>
  <c r="I1107" i="5"/>
  <c r="AB1111" i="5"/>
  <c r="AB1123" i="5"/>
  <c r="S1165" i="5"/>
  <c r="R1166" i="5"/>
  <c r="AB1172" i="5"/>
  <c r="R1178" i="5"/>
  <c r="I1178" i="5"/>
  <c r="R1205" i="5"/>
  <c r="J1205" i="5"/>
  <c r="I1205" i="5"/>
  <c r="H1236" i="5"/>
  <c r="AB850" i="5"/>
  <c r="AB939" i="5"/>
  <c r="H954" i="5"/>
  <c r="AB1015" i="5"/>
  <c r="AB1035" i="5"/>
  <c r="AB1055" i="5"/>
  <c r="AB1066" i="5"/>
  <c r="AB1083" i="5"/>
  <c r="R1095" i="5"/>
  <c r="F1099" i="5"/>
  <c r="J1103" i="5"/>
  <c r="S1124" i="5"/>
  <c r="AB1130" i="5"/>
  <c r="I1136" i="5"/>
  <c r="J1136" i="5"/>
  <c r="F1154" i="5"/>
  <c r="J1154" i="5"/>
  <c r="AB1181" i="5"/>
  <c r="AB1189" i="5"/>
  <c r="S1201" i="5"/>
  <c r="AB1201" i="5"/>
  <c r="R1213" i="5"/>
  <c r="H1213" i="5"/>
  <c r="F1213" i="5"/>
  <c r="J1213" i="5"/>
  <c r="S1221" i="5"/>
  <c r="AB1221"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J1075" i="5"/>
  <c r="AB1078" i="5"/>
  <c r="H1098" i="5"/>
  <c r="F1111" i="5"/>
  <c r="S1116" i="5"/>
  <c r="AB1127" i="5"/>
  <c r="F1143" i="5"/>
  <c r="H1154" i="5"/>
  <c r="AB1159" i="5"/>
  <c r="R1161" i="5"/>
  <c r="H1161" i="5"/>
  <c r="AB1168" i="5"/>
  <c r="S1168" i="5"/>
  <c r="R1186" i="5"/>
  <c r="H1186" i="5"/>
  <c r="H1221" i="5"/>
  <c r="AB1239" i="5"/>
  <c r="S1239" i="5"/>
  <c r="S968" i="5"/>
  <c r="F991" i="5"/>
  <c r="AB1007" i="5"/>
  <c r="S1016" i="5"/>
  <c r="S1036" i="5"/>
  <c r="AB1047" i="5"/>
  <c r="S1056" i="5"/>
  <c r="AB1075" i="5"/>
  <c r="S1095" i="5"/>
  <c r="S1106" i="5"/>
  <c r="J1119" i="5"/>
  <c r="S1130" i="5"/>
  <c r="S1151" i="5"/>
  <c r="I1152" i="5"/>
  <c r="I1154" i="5"/>
  <c r="R1169" i="5"/>
  <c r="F1173" i="5"/>
  <c r="S1177" i="5"/>
  <c r="AB1184" i="5"/>
  <c r="S1197" i="5"/>
  <c r="J1249" i="5"/>
  <c r="J1261" i="5"/>
  <c r="I1261" i="5"/>
  <c r="F1261" i="5"/>
  <c r="AB1264" i="5"/>
  <c r="S1264" i="5"/>
  <c r="F1464" i="5"/>
  <c r="F1066" i="5"/>
  <c r="H1099" i="5"/>
  <c r="H1173" i="5"/>
  <c r="AB1185" i="5"/>
  <c r="H1189" i="5"/>
  <c r="F1189" i="5"/>
  <c r="R1197" i="5"/>
  <c r="H1197" i="5"/>
  <c r="F1197" i="5"/>
  <c r="I1204" i="5"/>
  <c r="AB1204" i="5"/>
  <c r="S1229" i="5"/>
  <c r="AB1229" i="5"/>
  <c r="H1289" i="5"/>
  <c r="AB1443" i="5"/>
  <c r="S1443" i="5"/>
  <c r="R1225" i="5"/>
  <c r="I1225" i="5"/>
  <c r="AB1296" i="5"/>
  <c r="S1296" i="5"/>
  <c r="AB1328" i="5"/>
  <c r="S1328" i="5"/>
  <c r="R1349" i="5"/>
  <c r="J1349" i="5"/>
  <c r="H1349" i="5"/>
  <c r="S1354" i="5"/>
  <c r="R1357" i="5"/>
  <c r="J1357" i="5"/>
  <c r="F1449" i="5"/>
  <c r="S1533" i="5"/>
  <c r="AB1548" i="5"/>
  <c r="S1548" i="5"/>
  <c r="F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AB1234" i="5"/>
  <c r="S1246" i="5"/>
  <c r="S1254" i="5"/>
  <c r="S1268" i="5"/>
  <c r="S1288" i="5"/>
  <c r="S1290" i="5"/>
  <c r="S1293" i="5"/>
  <c r="F1301" i="5"/>
  <c r="S1325" i="5"/>
  <c r="F1333" i="5"/>
  <c r="F1339" i="5"/>
  <c r="AB1356" i="5"/>
  <c r="S1356" i="5"/>
  <c r="F1397" i="5"/>
  <c r="AB1450" i="5"/>
  <c r="S1541" i="5"/>
  <c r="J1546" i="5"/>
  <c r="H1546" i="5"/>
  <c r="I1546" i="5"/>
  <c r="F1546" i="5"/>
  <c r="S1676" i="5"/>
  <c r="S1207" i="5"/>
  <c r="S1220" i="5"/>
  <c r="AB1256" i="5"/>
  <c r="AB1269" i="5"/>
  <c r="S1271" i="5"/>
  <c r="S1279" i="5"/>
  <c r="AB1285" i="5"/>
  <c r="F1356" i="5"/>
  <c r="AB1381" i="5"/>
  <c r="S1384" i="5"/>
  <c r="AB1467" i="5"/>
  <c r="H1729" i="5"/>
  <c r="F1729" i="5"/>
  <c r="I1729" i="5"/>
  <c r="AB1297" i="5"/>
  <c r="S1317" i="5"/>
  <c r="AB1324" i="5"/>
  <c r="AB1329" i="5"/>
  <c r="AB1342" i="5"/>
  <c r="AB1410" i="5"/>
  <c r="AB1426" i="5"/>
  <c r="AB1434" i="5"/>
  <c r="J1451" i="5"/>
  <c r="AB1466" i="5"/>
  <c r="AB1565" i="5"/>
  <c r="S1580" i="5"/>
  <c r="AB1621" i="5"/>
  <c r="S1727" i="5"/>
  <c r="I1732" i="5"/>
  <c r="F1732" i="5"/>
  <c r="H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S1862" i="5"/>
  <c r="I1873" i="5"/>
  <c r="J1873" i="5"/>
  <c r="R1873" i="5"/>
  <c r="R1945" i="5"/>
  <c r="J1945" i="5"/>
  <c r="I1945" i="5"/>
  <c r="H1945" i="5"/>
  <c r="F1945" i="5"/>
  <c r="I1956" i="5"/>
  <c r="H1956" i="5"/>
  <c r="F1956" i="5"/>
  <c r="AB1451" i="5"/>
  <c r="J1515" i="5"/>
  <c r="AB1597" i="5"/>
  <c r="S1612" i="5"/>
  <c r="AB1632" i="5"/>
  <c r="S1655" i="5"/>
  <c r="S1687" i="5"/>
  <c r="I1721" i="5"/>
  <c r="H1721" i="5"/>
  <c r="F1721" i="5"/>
  <c r="F1728" i="5"/>
  <c r="AB1782" i="5"/>
  <c r="AB1801" i="5"/>
  <c r="F1801" i="5"/>
  <c r="AB1813" i="5"/>
  <c r="F1939" i="5"/>
  <c r="H1304" i="5"/>
  <c r="S1339" i="5"/>
  <c r="AB1360" i="5"/>
  <c r="F1371" i="5"/>
  <c r="F1380" i="5"/>
  <c r="F1450" i="5"/>
  <c r="I1468" i="5"/>
  <c r="AB1481" i="5"/>
  <c r="S1481" i="5"/>
  <c r="H1491" i="5"/>
  <c r="S1499" i="5"/>
  <c r="H1508" i="5"/>
  <c r="S1523" i="5"/>
  <c r="I1525" i="5"/>
  <c r="AB1529" i="5"/>
  <c r="S1529" i="5"/>
  <c r="AB1569" i="5"/>
  <c r="H1625" i="5"/>
  <c r="I1629" i="5"/>
  <c r="H1629" i="5"/>
  <c r="F1629" i="5"/>
  <c r="AB1639" i="5"/>
  <c r="S1639" i="5"/>
  <c r="S1652" i="5"/>
  <c r="AB1669" i="5"/>
  <c r="H1689" i="5"/>
  <c r="F1689" i="5"/>
  <c r="AB1713" i="5"/>
  <c r="AB1740" i="5"/>
  <c r="S1740" i="5"/>
  <c r="H1770" i="5"/>
  <c r="AB1770" i="5"/>
  <c r="S1805" i="5"/>
  <c r="AB1805" i="5"/>
  <c r="F1813"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J1816" i="5"/>
  <c r="R1893" i="5"/>
  <c r="F1893" i="5"/>
  <c r="J1893" i="5"/>
  <c r="I1893" i="5"/>
  <c r="AB1232" i="5"/>
  <c r="AB1248" i="5"/>
  <c r="S1267" i="5"/>
  <c r="S1286" i="5"/>
  <c r="S1299" i="5"/>
  <c r="S1318" i="5"/>
  <c r="S1320" i="5"/>
  <c r="S1331" i="5"/>
  <c r="AB1336" i="5"/>
  <c r="S1358" i="5"/>
  <c r="S1380" i="5"/>
  <c r="AB1389" i="5"/>
  <c r="S1423" i="5"/>
  <c r="S1425" i="5"/>
  <c r="S1433" i="5"/>
  <c r="S1449" i="5"/>
  <c r="H1451" i="5"/>
  <c r="I1452" i="5"/>
  <c r="S1459" i="5"/>
  <c r="S1461" i="5"/>
  <c r="AB1483" i="5"/>
  <c r="AB1495" i="5"/>
  <c r="AB1505" i="5"/>
  <c r="AB1509" i="5"/>
  <c r="S1509" i="5"/>
  <c r="R1522" i="5"/>
  <c r="R1534" i="5"/>
  <c r="F1534" i="5"/>
  <c r="AB1538" i="5"/>
  <c r="AB1586" i="5"/>
  <c r="S1604" i="5"/>
  <c r="AB1628" i="5"/>
  <c r="H1633" i="5"/>
  <c r="S1647" i="5"/>
  <c r="I1649" i="5"/>
  <c r="H1649" i="5"/>
  <c r="F1649" i="5"/>
  <c r="AB1684" i="5"/>
  <c r="F1684" i="5"/>
  <c r="AB1708" i="5"/>
  <c r="AB1799" i="5"/>
  <c r="S1799" i="5"/>
  <c r="I1843" i="5"/>
  <c r="H1843" i="5"/>
  <c r="R1908" i="5"/>
  <c r="I1908" i="5"/>
  <c r="R1916" i="5"/>
  <c r="I1916" i="5"/>
  <c r="F1277" i="5"/>
  <c r="S1282" i="5"/>
  <c r="F1309" i="5"/>
  <c r="S1314" i="5"/>
  <c r="AB1361" i="5"/>
  <c r="AB1425" i="5"/>
  <c r="AB1433" i="5"/>
  <c r="H1455" i="5"/>
  <c r="AB1465" i="5"/>
  <c r="R1486" i="5"/>
  <c r="R1490" i="5"/>
  <c r="S1493" i="5"/>
  <c r="I1495" i="5"/>
  <c r="AB1503" i="5"/>
  <c r="S1503" i="5"/>
  <c r="S1527" i="5"/>
  <c r="AB1535" i="5"/>
  <c r="S1535" i="5"/>
  <c r="AB1601" i="5"/>
  <c r="I1625" i="5"/>
  <c r="AB1693" i="5"/>
  <c r="AB1703" i="5"/>
  <c r="S1703"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R1848" i="5"/>
  <c r="J1848" i="5"/>
  <c r="F1848" i="5"/>
  <c r="R1877" i="5"/>
  <c r="J1877" i="5"/>
  <c r="H1877" i="5"/>
  <c r="F1877" i="5"/>
  <c r="AB1926" i="5"/>
  <c r="S1926" i="5"/>
  <c r="AB1928" i="5"/>
  <c r="I1933" i="5"/>
  <c r="H1933" i="5"/>
  <c r="F1933" i="5"/>
  <c r="R1933" i="5"/>
  <c r="S1946" i="5"/>
  <c r="I1948" i="5"/>
  <c r="H1948" i="5"/>
  <c r="R1981" i="5"/>
  <c r="F1981" i="5"/>
  <c r="J1981" i="5"/>
  <c r="I1981" i="5"/>
  <c r="H1981" i="5"/>
  <c r="F2043" i="5"/>
  <c r="AB1697" i="5"/>
  <c r="S1753" i="5"/>
  <c r="S1854" i="5"/>
  <c r="R1884" i="5"/>
  <c r="I1884" i="5"/>
  <c r="J1961" i="5"/>
  <c r="I1961" i="5"/>
  <c r="H1961" i="5"/>
  <c r="F1961" i="5"/>
  <c r="F1988" i="5"/>
  <c r="I1988" i="5"/>
  <c r="H1988" i="5"/>
  <c r="J2029" i="5"/>
  <c r="I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J1844" i="5"/>
  <c r="I1844" i="5"/>
  <c r="H1844" i="5"/>
  <c r="S1858" i="5"/>
  <c r="S1866"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AB1972" i="5"/>
  <c r="I2033" i="5"/>
  <c r="F2033" i="5"/>
  <c r="R2033" i="5"/>
  <c r="J2033" i="5"/>
  <c r="H2033" i="5"/>
  <c r="R2041" i="5"/>
  <c r="H2041" i="5"/>
  <c r="J2041" i="5"/>
  <c r="I2041" i="5"/>
  <c r="F2041"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S1978" i="5"/>
  <c r="F1980" i="5"/>
  <c r="I1980" i="5"/>
  <c r="H1980" i="5"/>
  <c r="I2008" i="5"/>
  <c r="H2008" i="5"/>
  <c r="F2008" i="5"/>
  <c r="F2036" i="5"/>
  <c r="I2036" i="5"/>
  <c r="H2036" i="5"/>
  <c r="S1832" i="5"/>
  <c r="J1836" i="5"/>
  <c r="AB1843" i="5"/>
  <c r="J1874" i="5"/>
  <c r="AB1885" i="5"/>
  <c r="R1889" i="5"/>
  <c r="R1905" i="5"/>
  <c r="I1909" i="5"/>
  <c r="F1917" i="5"/>
  <c r="AB1919" i="5"/>
  <c r="AB1932" i="5"/>
  <c r="J1937" i="5"/>
  <c r="AB1939" i="5"/>
  <c r="F1953" i="5"/>
  <c r="F1957" i="5"/>
  <c r="F1959" i="5"/>
  <c r="AB1964" i="5"/>
  <c r="H1968" i="5"/>
  <c r="I1973" i="5"/>
  <c r="AB1983" i="5"/>
  <c r="S1983" i="5"/>
  <c r="I1984" i="5"/>
  <c r="AB1994" i="5"/>
  <c r="AB1998" i="5"/>
  <c r="S1998" i="5"/>
  <c r="F2017"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S1951" i="5"/>
  <c r="AB1952" i="5"/>
  <c r="S1955" i="5"/>
  <c r="AB1956" i="5"/>
  <c r="S1966" i="5"/>
  <c r="S1971" i="5"/>
  <c r="F1976" i="5"/>
  <c r="S1991" i="5"/>
  <c r="AB2000" i="5"/>
  <c r="F2004" i="5"/>
  <c r="J2013" i="5"/>
  <c r="I2013" i="5"/>
  <c r="R2016" i="5"/>
  <c r="H2028" i="5"/>
  <c r="AB2032" i="5"/>
  <c r="AB2064" i="5"/>
  <c r="AB2072" i="5"/>
  <c r="S2078" i="5"/>
  <c r="H2081" i="5"/>
  <c r="J2081" i="5"/>
  <c r="I2081" i="5"/>
  <c r="S2092" i="5"/>
  <c r="H2117" i="5"/>
  <c r="S2121" i="5"/>
  <c r="AB2121" i="5"/>
  <c r="S2177" i="5"/>
  <c r="AB2177" i="5"/>
  <c r="R2308" i="5"/>
  <c r="J2308" i="5"/>
  <c r="S1875" i="5"/>
  <c r="AB1877" i="5"/>
  <c r="H1890" i="5"/>
  <c r="H1906" i="5"/>
  <c r="S1915" i="5"/>
  <c r="S1934" i="5"/>
  <c r="F1937" i="5"/>
  <c r="AB1944" i="5"/>
  <c r="H1976" i="5"/>
  <c r="F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AB1834" i="5"/>
  <c r="AB1838" i="5"/>
  <c r="AB1856" i="5"/>
  <c r="AB1883" i="5"/>
  <c r="AB1911" i="5"/>
  <c r="S1947" i="5"/>
  <c r="AB1948" i="5"/>
  <c r="AB1954" i="5"/>
  <c r="AB1958" i="5"/>
  <c r="S1959" i="5"/>
  <c r="AB1967" i="5"/>
  <c r="AB1975" i="5"/>
  <c r="S1975" i="5"/>
  <c r="I1976" i="5"/>
  <c r="F1984" i="5"/>
  <c r="AB1990" i="5"/>
  <c r="S1990" i="5"/>
  <c r="I1993" i="5"/>
  <c r="AB1996" i="5"/>
  <c r="S1999" i="5"/>
  <c r="H2001" i="5"/>
  <c r="F2001" i="5"/>
  <c r="I2004" i="5"/>
  <c r="J2005" i="5"/>
  <c r="F2020" i="5"/>
  <c r="H2021" i="5"/>
  <c r="J2021" i="5"/>
  <c r="AB2043" i="5"/>
  <c r="I2048" i="5"/>
  <c r="R2087" i="5"/>
  <c r="R2092" i="5"/>
  <c r="F2118" i="5"/>
  <c r="I2118" i="5"/>
  <c r="R2118" i="5"/>
  <c r="AB2154" i="5"/>
  <c r="S2169"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R2229" i="5"/>
  <c r="J2229" i="5"/>
  <c r="H2229" i="5"/>
  <c r="F2229" i="5"/>
  <c r="H2256" i="5"/>
  <c r="AB2116" i="5"/>
  <c r="F2116" i="5"/>
  <c r="S2124" i="5"/>
  <c r="F2132" i="5"/>
  <c r="H2137" i="5"/>
  <c r="I2241" i="5"/>
  <c r="R2241" i="5"/>
  <c r="J2241" i="5"/>
  <c r="H2241" i="5"/>
  <c r="F2241" i="5"/>
  <c r="S2281" i="5"/>
  <c r="H2353" i="5"/>
  <c r="R2353" i="5"/>
  <c r="J2353" i="5"/>
  <c r="I2353" i="5"/>
  <c r="AB2448" i="5"/>
  <c r="S2448" i="5"/>
  <c r="J2452" i="5"/>
  <c r="F2452" i="5"/>
  <c r="R2452" i="5"/>
  <c r="I2452" i="5"/>
  <c r="H2452" i="5"/>
  <c r="S2011" i="5"/>
  <c r="AB2019" i="5"/>
  <c r="AB2024" i="5"/>
  <c r="AB2047" i="5"/>
  <c r="AB2087" i="5"/>
  <c r="AB2099" i="5"/>
  <c r="AB2109" i="5"/>
  <c r="S2125" i="5"/>
  <c r="I2137" i="5"/>
  <c r="S2165" i="5"/>
  <c r="H2236" i="5"/>
  <c r="F2236" i="5"/>
  <c r="J2294" i="5"/>
  <c r="I2294" i="5"/>
  <c r="H2294" i="5"/>
  <c r="F2294" i="5"/>
  <c r="S2346" i="5"/>
  <c r="AB2346" i="5"/>
  <c r="AB2026" i="5"/>
  <c r="AB2035" i="5"/>
  <c r="AB2055" i="5"/>
  <c r="AB2070" i="5"/>
  <c r="AB2076" i="5"/>
  <c r="AB2117" i="5"/>
  <c r="I2125" i="5"/>
  <c r="S2153" i="5"/>
  <c r="AB2153" i="5"/>
  <c r="R2162" i="5"/>
  <c r="I2162" i="5"/>
  <c r="H2162" i="5"/>
  <c r="AB2204" i="5"/>
  <c r="S2228" i="5"/>
  <c r="H2260" i="5"/>
  <c r="F2260" i="5"/>
  <c r="AB2272" i="5"/>
  <c r="S2272" i="5"/>
  <c r="AB2279" i="5"/>
  <c r="S2279"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J2477" i="5"/>
  <c r="I2477" i="5"/>
  <c r="H2477" i="5"/>
  <c r="H2488" i="5"/>
  <c r="F2488" i="5"/>
  <c r="AB2189" i="5"/>
  <c r="AB2218" i="5"/>
  <c r="J2309" i="5"/>
  <c r="R2351" i="5"/>
  <c r="J2351" i="5"/>
  <c r="I2351" i="5"/>
  <c r="F2351" i="5"/>
  <c r="H2355" i="5"/>
  <c r="F2355" i="5"/>
  <c r="R2355" i="5"/>
  <c r="J2355" i="5"/>
  <c r="I2355" i="5"/>
  <c r="H2425" i="5"/>
  <c r="AB2438" i="5"/>
  <c r="S2438" i="5"/>
  <c r="H2443" i="5"/>
  <c r="I2443" i="5"/>
  <c r="F2443" i="5"/>
  <c r="R2443" i="5"/>
  <c r="J2443" i="5"/>
  <c r="I2492" i="5"/>
  <c r="F2492" i="5"/>
  <c r="AB2137" i="5"/>
  <c r="I2150" i="5"/>
  <c r="F2157" i="5"/>
  <c r="S2180" i="5"/>
  <c r="S2183" i="5"/>
  <c r="S2187" i="5"/>
  <c r="AB2221" i="5"/>
  <c r="S2226" i="5"/>
  <c r="AB2248" i="5"/>
  <c r="AB2257" i="5"/>
  <c r="AB2261" i="5"/>
  <c r="AB2265" i="5"/>
  <c r="AB2275" i="5"/>
  <c r="AB2302" i="5"/>
  <c r="H2303" i="5"/>
  <c r="AB2307" i="5"/>
  <c r="J2346" i="5"/>
  <c r="I2346" i="5"/>
  <c r="F2346" i="5"/>
  <c r="H2351" i="5"/>
  <c r="H2492" i="5"/>
  <c r="AB2112" i="5"/>
  <c r="J2150" i="5"/>
  <c r="AB2185" i="5"/>
  <c r="AB2197" i="5"/>
  <c r="AB2200" i="5"/>
  <c r="AB2213" i="5"/>
  <c r="AB2216" i="5"/>
  <c r="AB2253" i="5"/>
  <c r="S2270" i="5"/>
  <c r="AB2277" i="5"/>
  <c r="AB2293" i="5"/>
  <c r="J2293" i="5"/>
  <c r="S2296" i="5"/>
  <c r="I2303" i="5"/>
  <c r="F2309" i="5"/>
  <c r="F2310" i="5"/>
  <c r="S2315" i="5"/>
  <c r="S2322" i="5"/>
  <c r="F2329" i="5"/>
  <c r="H2329" i="5"/>
  <c r="AB2345" i="5"/>
  <c r="J2359" i="5"/>
  <c r="R2359" i="5"/>
  <c r="H2359" i="5"/>
  <c r="R2385" i="5"/>
  <c r="J2385" i="5"/>
  <c r="I2385" i="5"/>
  <c r="H2385" i="5"/>
  <c r="F2385" i="5"/>
  <c r="H2429" i="5"/>
  <c r="H2441" i="5"/>
  <c r="F2441" i="5"/>
  <c r="R2441" i="5"/>
  <c r="J2441" i="5"/>
  <c r="I2441" i="5"/>
  <c r="F2451" i="5"/>
  <c r="R2461" i="5"/>
  <c r="I2461" i="5"/>
  <c r="F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J2375" i="5"/>
  <c r="R2375" i="5"/>
  <c r="H2375" i="5"/>
  <c r="AB2410" i="5"/>
  <c r="F2429" i="5"/>
  <c r="H2461" i="5"/>
  <c r="AB2161" i="5"/>
  <c r="AB2180" i="5"/>
  <c r="AB2181" i="5"/>
  <c r="AB2212" i="5"/>
  <c r="AB2245" i="5"/>
  <c r="AB2268" i="5"/>
  <c r="F2282" i="5"/>
  <c r="AB2313" i="5"/>
  <c r="AB2316"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AB2387" i="5"/>
  <c r="AB2396" i="5"/>
  <c r="S2403" i="5"/>
  <c r="AB2414" i="5"/>
  <c r="AB2425" i="5"/>
  <c r="J2433" i="5"/>
  <c r="AB2436" i="5"/>
  <c r="S2456" i="5"/>
  <c r="AB2457" i="5"/>
  <c r="S2458" i="5"/>
  <c r="I2469" i="5"/>
  <c r="S2471" i="5"/>
  <c r="AB2472" i="5"/>
  <c r="AB2504" i="5"/>
  <c r="AB23" i="5"/>
  <c r="AB115" i="5"/>
  <c r="R146" i="5"/>
  <c r="AB179" i="5"/>
  <c r="AB201" i="5"/>
  <c r="R286" i="5"/>
  <c r="AB320" i="5"/>
  <c r="AB412" i="5"/>
  <c r="AB105" i="5"/>
  <c r="R114" i="5"/>
  <c r="AB137" i="5"/>
  <c r="AB147" i="5"/>
  <c r="AB169" i="5"/>
  <c r="R178" i="5"/>
  <c r="AB240" i="5"/>
  <c r="AB20" i="5"/>
  <c r="R21" i="5"/>
  <c r="AB28" i="5"/>
  <c r="AB34" i="5"/>
  <c r="AB38" i="5"/>
  <c r="AB42" i="5"/>
  <c r="AB46" i="5"/>
  <c r="AB50" i="5"/>
  <c r="AB54" i="5"/>
  <c r="AB58" i="5"/>
  <c r="AB62" i="5"/>
  <c r="AB66" i="5"/>
  <c r="AB70" i="5"/>
  <c r="AB74" i="5"/>
  <c r="AB78" i="5"/>
  <c r="AB82" i="5"/>
  <c r="AB86" i="5"/>
  <c r="AB90" i="5"/>
  <c r="AB94" i="5"/>
  <c r="AB98" i="5"/>
  <c r="AB104" i="5"/>
  <c r="AB117" i="5"/>
  <c r="R126" i="5"/>
  <c r="AB127" i="5"/>
  <c r="AB136" i="5"/>
  <c r="AB149" i="5"/>
  <c r="R158" i="5"/>
  <c r="AB159" i="5"/>
  <c r="AB168" i="5"/>
  <c r="AB181" i="5"/>
  <c r="R190" i="5"/>
  <c r="AB191" i="5"/>
  <c r="AB200" i="5"/>
  <c r="AB220" i="5"/>
  <c r="R238" i="5"/>
  <c r="AB244" i="5"/>
  <c r="AB260" i="5"/>
  <c r="AB276" i="5"/>
  <c r="AB292" i="5"/>
  <c r="AB5" i="5"/>
  <c r="AB21" i="5"/>
  <c r="AB29" i="5"/>
  <c r="AB35" i="5"/>
  <c r="AB39" i="5"/>
  <c r="AB43" i="5"/>
  <c r="AB47" i="5"/>
  <c r="AB51" i="5"/>
  <c r="AB55" i="5"/>
  <c r="AB59" i="5"/>
  <c r="AB63" i="5"/>
  <c r="AB67" i="5"/>
  <c r="AB71" i="5"/>
  <c r="AB75" i="5"/>
  <c r="AB79" i="5"/>
  <c r="AB83" i="5"/>
  <c r="AB87" i="5"/>
  <c r="AB91" i="5"/>
  <c r="AB95" i="5"/>
  <c r="AB99" i="5"/>
  <c r="R106" i="5"/>
  <c r="AB107" i="5"/>
  <c r="AB116" i="5"/>
  <c r="AB129" i="5"/>
  <c r="R138" i="5"/>
  <c r="AB139" i="5"/>
  <c r="AB148" i="5"/>
  <c r="AB161" i="5"/>
  <c r="AB171" i="5"/>
  <c r="AB180" i="5"/>
  <c r="AB193" i="5"/>
  <c r="R202" i="5"/>
  <c r="AB203" i="5"/>
  <c r="AB209" i="5"/>
  <c r="R210" i="5"/>
  <c r="R258" i="5"/>
  <c r="R274" i="5"/>
  <c r="AB360" i="5"/>
  <c r="R371" i="5"/>
  <c r="J371" i="5"/>
  <c r="H371" i="5"/>
  <c r="I371" i="5"/>
  <c r="F371" i="5"/>
  <c r="R383" i="5"/>
  <c r="J383" i="5"/>
  <c r="H383" i="5"/>
  <c r="I383" i="5"/>
  <c r="F383" i="5"/>
  <c r="AB119" i="5"/>
  <c r="AB151" i="5"/>
  <c r="AB173" i="5"/>
  <c r="AB183" i="5"/>
  <c r="AB205" i="5"/>
  <c r="AB212" i="5"/>
  <c r="AB248" i="5"/>
  <c r="AB264" i="5"/>
  <c r="AB280" i="5"/>
  <c r="AB296" i="5"/>
  <c r="R319" i="5"/>
  <c r="AB328" i="5"/>
  <c r="R351" i="5"/>
  <c r="J351" i="5"/>
  <c r="H351" i="5"/>
  <c r="I351" i="5"/>
  <c r="F351" i="5"/>
  <c r="AB358" i="5"/>
  <c r="R118" i="5"/>
  <c r="AB121" i="5"/>
  <c r="R130" i="5"/>
  <c r="AB131" i="5"/>
  <c r="AB153" i="5"/>
  <c r="AB163" i="5"/>
  <c r="AB185" i="5"/>
  <c r="AB195" i="5"/>
  <c r="R213" i="5"/>
  <c r="R222" i="5"/>
  <c r="AB224" i="5"/>
  <c r="R246" i="5"/>
  <c r="R294" i="5"/>
  <c r="R307" i="5"/>
  <c r="AB408" i="5"/>
  <c r="AB109" i="5"/>
  <c r="AB141" i="5"/>
  <c r="R150" i="5"/>
  <c r="AB19" i="5"/>
  <c r="AB27" i="5"/>
  <c r="R28" i="5"/>
  <c r="AB36" i="5"/>
  <c r="AB40" i="5"/>
  <c r="AB44" i="5"/>
  <c r="AB48" i="5"/>
  <c r="AB52" i="5"/>
  <c r="AB56" i="5"/>
  <c r="AB60" i="5"/>
  <c r="AB64" i="5"/>
  <c r="AB68" i="5"/>
  <c r="AB72" i="5"/>
  <c r="AB76" i="5"/>
  <c r="AB80" i="5"/>
  <c r="AB84" i="5"/>
  <c r="AB88" i="5"/>
  <c r="AB92" i="5"/>
  <c r="AB96" i="5"/>
  <c r="AB100" i="5"/>
  <c r="AB101" i="5"/>
  <c r="AB111" i="5"/>
  <c r="AB120" i="5"/>
  <c r="AB133" i="5"/>
  <c r="R142" i="5"/>
  <c r="AB143" i="5"/>
  <c r="AB152" i="5"/>
  <c r="AB165" i="5"/>
  <c r="R174" i="5"/>
  <c r="AB175" i="5"/>
  <c r="AB184" i="5"/>
  <c r="AB197" i="5"/>
  <c r="AB208" i="5"/>
  <c r="AB228" i="5"/>
  <c r="AB252" i="5"/>
  <c r="AB268" i="5"/>
  <c r="AB284" i="5"/>
  <c r="AB300" i="5"/>
  <c r="AB303" i="5"/>
  <c r="AB312" i="5"/>
  <c r="J384" i="5"/>
  <c r="R384" i="5"/>
  <c r="I384" i="5"/>
  <c r="H384" i="5"/>
  <c r="F384" i="5"/>
  <c r="AB402" i="5"/>
  <c r="AB31" i="5"/>
  <c r="AB25" i="5"/>
  <c r="AB37" i="5"/>
  <c r="AB45" i="5"/>
  <c r="AB53" i="5"/>
  <c r="AB57" i="5"/>
  <c r="AB61" i="5"/>
  <c r="AB65" i="5"/>
  <c r="AB69" i="5"/>
  <c r="AB73" i="5"/>
  <c r="AB81" i="5"/>
  <c r="AB89" i="5"/>
  <c r="AB113" i="5"/>
  <c r="R117" i="5"/>
  <c r="AB123" i="5"/>
  <c r="AB145" i="5"/>
  <c r="R154" i="5"/>
  <c r="AB155" i="5"/>
  <c r="AB177" i="5"/>
  <c r="AB187" i="5"/>
  <c r="R214" i="5"/>
  <c r="AB216" i="5"/>
  <c r="R226" i="5"/>
  <c r="AB232" i="5"/>
  <c r="R250" i="5"/>
  <c r="R282" i="5"/>
  <c r="R298" i="5"/>
  <c r="R327" i="5"/>
  <c r="J352" i="5"/>
  <c r="R352" i="5"/>
  <c r="I352" i="5"/>
  <c r="H352" i="5"/>
  <c r="F352" i="5"/>
  <c r="AB361" i="5"/>
  <c r="I470" i="5"/>
  <c r="H470" i="5"/>
  <c r="F470" i="5"/>
  <c r="R470" i="5"/>
  <c r="J470" i="5"/>
  <c r="I494" i="5"/>
  <c r="H494" i="5"/>
  <c r="R494" i="5"/>
  <c r="J494" i="5"/>
  <c r="F494" i="5"/>
  <c r="AB33" i="5"/>
  <c r="AB41" i="5"/>
  <c r="AB49" i="5"/>
  <c r="AB77" i="5"/>
  <c r="AB85" i="5"/>
  <c r="AB93" i="5"/>
  <c r="AB97" i="5"/>
  <c r="R26" i="5"/>
  <c r="R31" i="5"/>
  <c r="R102" i="5"/>
  <c r="AB103" i="5"/>
  <c r="AB112" i="5"/>
  <c r="AB125" i="5"/>
  <c r="R129" i="5"/>
  <c r="R134" i="5"/>
  <c r="AB135" i="5"/>
  <c r="AB144" i="5"/>
  <c r="AB157" i="5"/>
  <c r="R166" i="5"/>
  <c r="AB167" i="5"/>
  <c r="AB176" i="5"/>
  <c r="AB189" i="5"/>
  <c r="R198" i="5"/>
  <c r="AB199" i="5"/>
  <c r="R217" i="5"/>
  <c r="AB236" i="5"/>
  <c r="AB256" i="5"/>
  <c r="AB272" i="5"/>
  <c r="AB288" i="5"/>
  <c r="R315" i="5"/>
  <c r="R335" i="5"/>
  <c r="H335" i="5"/>
  <c r="J335" i="5"/>
  <c r="I335" i="5"/>
  <c r="F335" i="5"/>
  <c r="AB336" i="5"/>
  <c r="R343" i="5"/>
  <c r="J343" i="5"/>
  <c r="H343" i="5"/>
  <c r="J344" i="5"/>
  <c r="AB350" i="5"/>
  <c r="I368" i="5"/>
  <c r="AB373" i="5"/>
  <c r="J376" i="5"/>
  <c r="H380" i="5"/>
  <c r="AB382" i="5"/>
  <c r="AB385" i="5"/>
  <c r="R471" i="5"/>
  <c r="J471" i="5"/>
  <c r="I471" i="5"/>
  <c r="H471" i="5"/>
  <c r="F471" i="5"/>
  <c r="R499" i="5"/>
  <c r="J499" i="5"/>
  <c r="I499" i="5"/>
  <c r="H499" i="5"/>
  <c r="F499" i="5"/>
  <c r="R531" i="5"/>
  <c r="J531" i="5"/>
  <c r="I531" i="5"/>
  <c r="H531" i="5"/>
  <c r="F531" i="5"/>
  <c r="AB213" i="5"/>
  <c r="AB217" i="5"/>
  <c r="AB221" i="5"/>
  <c r="AB225" i="5"/>
  <c r="AB229" i="5"/>
  <c r="AB233" i="5"/>
  <c r="AB237" i="5"/>
  <c r="AB241" i="5"/>
  <c r="AB245" i="5"/>
  <c r="AB249" i="5"/>
  <c r="AB253" i="5"/>
  <c r="AB257" i="5"/>
  <c r="AB261" i="5"/>
  <c r="AB265" i="5"/>
  <c r="AB269" i="5"/>
  <c r="AB273" i="5"/>
  <c r="AB277" i="5"/>
  <c r="AB281" i="5"/>
  <c r="AB285" i="5"/>
  <c r="AB289" i="5"/>
  <c r="AB293" i="5"/>
  <c r="AB297" i="5"/>
  <c r="AB301" i="5"/>
  <c r="AB310" i="5"/>
  <c r="AB318" i="5"/>
  <c r="AB326" i="5"/>
  <c r="AB332" i="5"/>
  <c r="I337" i="5"/>
  <c r="AB343" i="5"/>
  <c r="AB353" i="5"/>
  <c r="J356" i="5"/>
  <c r="H360" i="5"/>
  <c r="AB362" i="5"/>
  <c r="AB375" i="5"/>
  <c r="AB389" i="5"/>
  <c r="R459" i="5"/>
  <c r="F459" i="5"/>
  <c r="J459" i="5"/>
  <c r="I459" i="5"/>
  <c r="H459" i="5"/>
  <c r="AB305" i="5"/>
  <c r="AB313" i="5"/>
  <c r="AB321" i="5"/>
  <c r="AB329" i="5"/>
  <c r="F336" i="5"/>
  <c r="AB342" i="5"/>
  <c r="I360" i="5"/>
  <c r="F363" i="5"/>
  <c r="J368" i="5"/>
  <c r="AB374" i="5"/>
  <c r="AB386" i="5"/>
  <c r="F387" i="5"/>
  <c r="AB393" i="5"/>
  <c r="R399" i="5"/>
  <c r="J399" i="5"/>
  <c r="H399" i="5"/>
  <c r="I464" i="5"/>
  <c r="H464" i="5"/>
  <c r="F464" i="5"/>
  <c r="R464" i="5"/>
  <c r="J464" i="5"/>
  <c r="I478" i="5"/>
  <c r="H478" i="5"/>
  <c r="R478" i="5"/>
  <c r="J478" i="5"/>
  <c r="F478" i="5"/>
  <c r="AB333" i="5"/>
  <c r="H336" i="5"/>
  <c r="F343" i="5"/>
  <c r="AB345" i="5"/>
  <c r="R347" i="5"/>
  <c r="J347" i="5"/>
  <c r="H347" i="5"/>
  <c r="J348" i="5"/>
  <c r="AB354" i="5"/>
  <c r="F364" i="5"/>
  <c r="AB367" i="5"/>
  <c r="AB377" i="5"/>
  <c r="J380" i="5"/>
  <c r="AB390" i="5"/>
  <c r="AB397" i="5"/>
  <c r="R483" i="5"/>
  <c r="J483" i="5"/>
  <c r="I483" i="5"/>
  <c r="H483" i="5"/>
  <c r="F483" i="5"/>
  <c r="I510" i="5"/>
  <c r="H510" i="5"/>
  <c r="R510" i="5"/>
  <c r="J510" i="5"/>
  <c r="F510" i="5"/>
  <c r="I542" i="5"/>
  <c r="H542" i="5"/>
  <c r="R542" i="5"/>
  <c r="J542" i="5"/>
  <c r="F542" i="5"/>
  <c r="I336" i="5"/>
  <c r="R338" i="5"/>
  <c r="I338" i="5"/>
  <c r="F338" i="5"/>
  <c r="AB338" i="5"/>
  <c r="F344" i="5"/>
  <c r="J360" i="5"/>
  <c r="H364" i="5"/>
  <c r="AB366" i="5"/>
  <c r="AB394" i="5"/>
  <c r="AB401" i="5"/>
  <c r="AB416" i="5"/>
  <c r="R515" i="5"/>
  <c r="J515" i="5"/>
  <c r="I515" i="5"/>
  <c r="H515" i="5"/>
  <c r="F515" i="5"/>
  <c r="R310" i="5"/>
  <c r="R318" i="5"/>
  <c r="AB334" i="5"/>
  <c r="AB339" i="5"/>
  <c r="I343" i="5"/>
  <c r="H344" i="5"/>
  <c r="AB346" i="5"/>
  <c r="F356" i="5"/>
  <c r="AB359" i="5"/>
  <c r="AB369" i="5"/>
  <c r="J372" i="5"/>
  <c r="H376" i="5"/>
  <c r="AB378" i="5"/>
  <c r="AB398" i="5"/>
  <c r="F399" i="5"/>
  <c r="AB405" i="5"/>
  <c r="AB409" i="5"/>
  <c r="J336" i="5"/>
  <c r="R344" i="5"/>
  <c r="AB351" i="5"/>
  <c r="AB352" i="5"/>
  <c r="R363" i="5"/>
  <c r="J363" i="5"/>
  <c r="H363" i="5"/>
  <c r="J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AB478" i="5"/>
  <c r="AB483" i="5"/>
  <c r="I484" i="5"/>
  <c r="AB494" i="5"/>
  <c r="AB499" i="5"/>
  <c r="I500" i="5"/>
  <c r="AB510" i="5"/>
  <c r="F514" i="5"/>
  <c r="AB515" i="5"/>
  <c r="I516" i="5"/>
  <c r="F519" i="5"/>
  <c r="AB526" i="5"/>
  <c r="F530" i="5"/>
  <c r="AB531" i="5"/>
  <c r="I532" i="5"/>
  <c r="F535" i="5"/>
  <c r="AB542" i="5"/>
  <c r="F546" i="5"/>
  <c r="J550" i="5"/>
  <c r="I550" i="5"/>
  <c r="H550" i="5"/>
  <c r="F555" i="5"/>
  <c r="AB558" i="5"/>
  <c r="R559" i="5"/>
  <c r="J559" i="5"/>
  <c r="J566" i="5"/>
  <c r="I566" i="5"/>
  <c r="H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I480" i="5"/>
  <c r="J482" i="5"/>
  <c r="AB484" i="5"/>
  <c r="AB490" i="5"/>
  <c r="AB495" i="5"/>
  <c r="J498" i="5"/>
  <c r="AB500" i="5"/>
  <c r="AB506" i="5"/>
  <c r="AB511" i="5"/>
  <c r="I512" i="5"/>
  <c r="J514" i="5"/>
  <c r="AB516" i="5"/>
  <c r="AB522" i="5"/>
  <c r="AB527" i="5"/>
  <c r="I528" i="5"/>
  <c r="J530" i="5"/>
  <c r="AB532" i="5"/>
  <c r="AB538" i="5"/>
  <c r="AB543" i="5"/>
  <c r="I544" i="5"/>
  <c r="J546" i="5"/>
  <c r="F547" i="5"/>
  <c r="AB548" i="5"/>
  <c r="AB550" i="5"/>
  <c r="R551" i="5"/>
  <c r="J551"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AB464" i="5"/>
  <c r="J468" i="5"/>
  <c r="AB475" i="5"/>
  <c r="I476" i="5"/>
  <c r="F479" i="5"/>
  <c r="AB480" i="5"/>
  <c r="AB486" i="5"/>
  <c r="AB491" i="5"/>
  <c r="I492" i="5"/>
  <c r="F495" i="5"/>
  <c r="AB496" i="5"/>
  <c r="AB502" i="5"/>
  <c r="AB507"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AB574" i="5"/>
  <c r="AB577" i="5"/>
  <c r="R590" i="5"/>
  <c r="J590" i="5"/>
  <c r="I590" i="5"/>
  <c r="H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AB535" i="5"/>
  <c r="I536" i="5"/>
  <c r="AB540" i="5"/>
  <c r="AB546" i="5"/>
  <c r="J558" i="5"/>
  <c r="I558" i="5"/>
  <c r="H558" i="5"/>
  <c r="AB565" i="5"/>
  <c r="AB584" i="5"/>
  <c r="AB592" i="5"/>
  <c r="AB593" i="5"/>
  <c r="R594" i="5"/>
  <c r="J594" i="5"/>
  <c r="I594" i="5"/>
  <c r="H594" i="5"/>
  <c r="H702" i="5"/>
  <c r="R702" i="5"/>
  <c r="J702" i="5"/>
  <c r="I702" i="5"/>
  <c r="F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R850" i="5"/>
  <c r="J850" i="5"/>
  <c r="F850" i="5"/>
  <c r="I548" i="5"/>
  <c r="I552" i="5"/>
  <c r="I560" i="5"/>
  <c r="I564" i="5"/>
  <c r="I568" i="5"/>
  <c r="I572" i="5"/>
  <c r="I584" i="5"/>
  <c r="I600" i="5"/>
  <c r="I604" i="5"/>
  <c r="I612" i="5"/>
  <c r="I616" i="5"/>
  <c r="I620" i="5"/>
  <c r="I624" i="5"/>
  <c r="I628" i="5"/>
  <c r="I636" i="5"/>
  <c r="I652" i="5"/>
  <c r="I656" i="5"/>
  <c r="I660" i="5"/>
  <c r="AB681" i="5"/>
  <c r="S683" i="5"/>
  <c r="AB686" i="5"/>
  <c r="J688"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S769" i="5"/>
  <c r="S775" i="5"/>
  <c r="AB775" i="5"/>
  <c r="AB785" i="5"/>
  <c r="S785" i="5"/>
  <c r="S791" i="5"/>
  <c r="AB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J699" i="5"/>
  <c r="I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S753" i="5"/>
  <c r="AB755" i="5"/>
  <c r="S763" i="5"/>
  <c r="AB763" i="5"/>
  <c r="AB773" i="5"/>
  <c r="S773" i="5"/>
  <c r="S779" i="5"/>
  <c r="AB779" i="5"/>
  <c r="AB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J747" i="5"/>
  <c r="I747" i="5"/>
  <c r="F747" i="5"/>
  <c r="F753" i="5"/>
  <c r="J753" i="5"/>
  <c r="I753" i="5"/>
  <c r="J755" i="5"/>
  <c r="I755" i="5"/>
  <c r="H755" i="5"/>
  <c r="F755" i="5"/>
  <c r="F756" i="5"/>
  <c r="J763" i="5"/>
  <c r="I763" i="5"/>
  <c r="H763" i="5"/>
  <c r="F763" i="5"/>
  <c r="R769" i="5"/>
  <c r="H773" i="5"/>
  <c r="F773" i="5"/>
  <c r="J773" i="5"/>
  <c r="I773" i="5"/>
  <c r="J779" i="5"/>
  <c r="I779" i="5"/>
  <c r="H779" i="5"/>
  <c r="F779" i="5"/>
  <c r="R785" i="5"/>
  <c r="H789" i="5"/>
  <c r="F789" i="5"/>
  <c r="J789" i="5"/>
  <c r="I789" i="5"/>
  <c r="R791" i="5"/>
  <c r="AB801" i="5"/>
  <c r="S801" i="5"/>
  <c r="H805" i="5"/>
  <c r="F805" i="5"/>
  <c r="R805" i="5"/>
  <c r="J805" i="5"/>
  <c r="I805" i="5"/>
  <c r="I834" i="5"/>
  <c r="H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H745" i="5"/>
  <c r="AB751" i="5"/>
  <c r="AB761" i="5"/>
  <c r="S761" i="5"/>
  <c r="S767" i="5"/>
  <c r="AB767" i="5"/>
  <c r="AB777" i="5"/>
  <c r="S777" i="5"/>
  <c r="S783" i="5"/>
  <c r="AB783" i="5"/>
  <c r="AB793" i="5"/>
  <c r="S793" i="5"/>
  <c r="AB797" i="5"/>
  <c r="S797" i="5"/>
  <c r="H801" i="5"/>
  <c r="F801" i="5"/>
  <c r="J801" i="5"/>
  <c r="I801" i="5"/>
  <c r="J598" i="5"/>
  <c r="J606" i="5"/>
  <c r="J610" i="5"/>
  <c r="J614" i="5"/>
  <c r="J618" i="5"/>
  <c r="J622" i="5"/>
  <c r="J626" i="5"/>
  <c r="J630" i="5"/>
  <c r="R681" i="5"/>
  <c r="F688" i="5"/>
  <c r="F689" i="5"/>
  <c r="I689" i="5"/>
  <c r="J691" i="5"/>
  <c r="I691" i="5"/>
  <c r="F704" i="5"/>
  <c r="F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S765" i="5"/>
  <c r="S771" i="5"/>
  <c r="AB771" i="5"/>
  <c r="AB781" i="5"/>
  <c r="S781" i="5"/>
  <c r="S787" i="5"/>
  <c r="AB787" i="5"/>
  <c r="H822" i="5"/>
  <c r="R822" i="5"/>
  <c r="J822" i="5"/>
  <c r="I822" i="5"/>
  <c r="F822" i="5"/>
  <c r="R919" i="5"/>
  <c r="I919" i="5"/>
  <c r="J919" i="5"/>
  <c r="H919" i="5"/>
  <c r="F919" i="5"/>
  <c r="R758" i="5"/>
  <c r="R770" i="5"/>
  <c r="R778" i="5"/>
  <c r="R782" i="5"/>
  <c r="R786" i="5"/>
  <c r="R790" i="5"/>
  <c r="R798" i="5"/>
  <c r="R802" i="5"/>
  <c r="S806" i="5"/>
  <c r="H807"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R844" i="5"/>
  <c r="I844" i="5"/>
  <c r="J851" i="5"/>
  <c r="S865" i="5"/>
  <c r="AB868" i="5"/>
  <c r="AB876" i="5"/>
  <c r="AB877" i="5"/>
  <c r="AB880" i="5"/>
  <c r="S893" i="5"/>
  <c r="R899" i="5"/>
  <c r="I899" i="5"/>
  <c r="F899" i="5"/>
  <c r="H899" i="5"/>
  <c r="I909" i="5"/>
  <c r="J909" i="5"/>
  <c r="H909" i="5"/>
  <c r="F909" i="5"/>
  <c r="R909" i="5"/>
  <c r="AB924" i="5"/>
  <c r="S929" i="5"/>
  <c r="AB953" i="5"/>
  <c r="S953" i="5"/>
  <c r="R994" i="5"/>
  <c r="J994" i="5"/>
  <c r="I994" i="5"/>
  <c r="H994" i="5"/>
  <c r="F994" i="5"/>
  <c r="AB1045" i="5"/>
  <c r="S1045" i="5"/>
  <c r="J819" i="5"/>
  <c r="AB884" i="5"/>
  <c r="AB892" i="5"/>
  <c r="R906" i="5"/>
  <c r="I906" i="5"/>
  <c r="H906" i="5"/>
  <c r="I921" i="5"/>
  <c r="F921" i="5"/>
  <c r="R921" i="5"/>
  <c r="H921" i="5"/>
  <c r="I929" i="5"/>
  <c r="R929" i="5"/>
  <c r="J929" i="5"/>
  <c r="H929" i="5"/>
  <c r="AB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R924" i="5"/>
  <c r="J924" i="5"/>
  <c r="I924" i="5"/>
  <c r="H924" i="5"/>
  <c r="F924" i="5"/>
  <c r="F929" i="5"/>
  <c r="I937" i="5"/>
  <c r="F937" i="5"/>
  <c r="R937" i="5"/>
  <c r="J937" i="5"/>
  <c r="H937" i="5"/>
  <c r="I945" i="5"/>
  <c r="R945" i="5"/>
  <c r="J945" i="5"/>
  <c r="F945" i="5"/>
  <c r="R962" i="5"/>
  <c r="J962" i="5"/>
  <c r="I962" i="5"/>
  <c r="H962" i="5"/>
  <c r="F962" i="5"/>
  <c r="AB970" i="5"/>
  <c r="J993" i="5"/>
  <c r="I993" i="5"/>
  <c r="H993" i="5"/>
  <c r="F993" i="5"/>
  <c r="R993" i="5"/>
  <c r="J1037" i="5"/>
  <c r="I1037" i="5"/>
  <c r="H1037" i="5"/>
  <c r="F1037" i="5"/>
  <c r="R1037" i="5"/>
  <c r="AB1077" i="5"/>
  <c r="S1077" i="5"/>
  <c r="S807" i="5"/>
  <c r="J810" i="5"/>
  <c r="R824" i="5"/>
  <c r="I824" i="5"/>
  <c r="S831" i="5"/>
  <c r="F838" i="5"/>
  <c r="F846" i="5"/>
  <c r="R855" i="5"/>
  <c r="I855" i="5"/>
  <c r="H855" i="5"/>
  <c r="F855" i="5"/>
  <c r="R876" i="5"/>
  <c r="I876" i="5"/>
  <c r="H876" i="5"/>
  <c r="F876" i="5"/>
  <c r="R880" i="5"/>
  <c r="J880" i="5"/>
  <c r="I880" i="5"/>
  <c r="F880" i="5"/>
  <c r="J906" i="5"/>
  <c r="H945" i="5"/>
  <c r="AB980" i="5"/>
  <c r="R1030" i="5"/>
  <c r="J1030" i="5"/>
  <c r="I1030" i="5"/>
  <c r="H1030" i="5"/>
  <c r="F1030" i="5"/>
  <c r="J1117" i="5"/>
  <c r="I1117" i="5"/>
  <c r="H1117" i="5"/>
  <c r="F1117" i="5"/>
  <c r="R1117" i="5"/>
  <c r="R1177" i="5"/>
  <c r="J1177" i="5"/>
  <c r="I1177" i="5"/>
  <c r="H1177" i="5"/>
  <c r="F1177" i="5"/>
  <c r="F809" i="5"/>
  <c r="R809" i="5"/>
  <c r="I813" i="5"/>
  <c r="AB815" i="5"/>
  <c r="F819" i="5"/>
  <c r="AB821" i="5"/>
  <c r="H826" i="5"/>
  <c r="R826" i="5"/>
  <c r="AB827" i="5"/>
  <c r="R828" i="5"/>
  <c r="I828" i="5"/>
  <c r="J831" i="5"/>
  <c r="I831" i="5"/>
  <c r="R832" i="5"/>
  <c r="I832" i="5"/>
  <c r="R840" i="5"/>
  <c r="I840" i="5"/>
  <c r="F844" i="5"/>
  <c r="R848" i="5"/>
  <c r="I848" i="5"/>
  <c r="AB855" i="5"/>
  <c r="I861" i="5"/>
  <c r="H861" i="5"/>
  <c r="F861" i="5"/>
  <c r="R861" i="5"/>
  <c r="S869" i="5"/>
  <c r="AB897" i="5"/>
  <c r="AB908" i="5"/>
  <c r="I915" i="5"/>
  <c r="AB918" i="5"/>
  <c r="I925" i="5"/>
  <c r="J925" i="5"/>
  <c r="H925" i="5"/>
  <c r="F925" i="5"/>
  <c r="R925" i="5"/>
  <c r="I961" i="5"/>
  <c r="H961" i="5"/>
  <c r="J961" i="5"/>
  <c r="F961" i="5"/>
  <c r="R961" i="5"/>
  <c r="AB1029" i="5"/>
  <c r="S1029" i="5"/>
  <c r="J1069" i="5"/>
  <c r="I1069" i="5"/>
  <c r="H1069" i="5"/>
  <c r="F1069" i="5"/>
  <c r="R1069" i="5"/>
  <c r="AB1109" i="5"/>
  <c r="S1109" i="5"/>
  <c r="I816" i="5"/>
  <c r="H819" i="5"/>
  <c r="F821" i="5"/>
  <c r="R821" i="5"/>
  <c r="I821" i="5"/>
  <c r="H830" i="5"/>
  <c r="R830" i="5"/>
  <c r="I857" i="5"/>
  <c r="R857" i="5"/>
  <c r="H857" i="5"/>
  <c r="AB859" i="5"/>
  <c r="AB863" i="5"/>
  <c r="AB871" i="5"/>
  <c r="I877" i="5"/>
  <c r="H877" i="5"/>
  <c r="F877" i="5"/>
  <c r="R877" i="5"/>
  <c r="S885" i="5"/>
  <c r="R887" i="5"/>
  <c r="I887" i="5"/>
  <c r="H887" i="5"/>
  <c r="F887" i="5"/>
  <c r="R896" i="5"/>
  <c r="J896" i="5"/>
  <c r="I896" i="5"/>
  <c r="F896" i="5"/>
  <c r="I905" i="5"/>
  <c r="F905" i="5"/>
  <c r="R905" i="5"/>
  <c r="H905" i="5"/>
  <c r="S913" i="5"/>
  <c r="R922" i="5"/>
  <c r="I922" i="5"/>
  <c r="H922" i="5"/>
  <c r="AB928" i="5"/>
  <c r="I949" i="5"/>
  <c r="R949" i="5"/>
  <c r="J949" i="5"/>
  <c r="H949" i="5"/>
  <c r="F949" i="5"/>
  <c r="I965" i="5"/>
  <c r="H965" i="5"/>
  <c r="F965" i="5"/>
  <c r="R965" i="5"/>
  <c r="J965" i="5"/>
  <c r="AB969" i="5"/>
  <c r="S969" i="5"/>
  <c r="AB1061" i="5"/>
  <c r="S1061" i="5"/>
  <c r="AB810" i="5"/>
  <c r="H810" i="5"/>
  <c r="AB816" i="5"/>
  <c r="I819" i="5"/>
  <c r="F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AB1125" i="5"/>
  <c r="S1125" i="5"/>
  <c r="AB1153" i="5"/>
  <c r="AB1355" i="5"/>
  <c r="S1355" i="5"/>
  <c r="H885" i="5"/>
  <c r="H901" i="5"/>
  <c r="H917" i="5"/>
  <c r="H933" i="5"/>
  <c r="F934" i="5"/>
  <c r="R938" i="5"/>
  <c r="I938" i="5"/>
  <c r="R940" i="5"/>
  <c r="J940" i="5"/>
  <c r="I941" i="5"/>
  <c r="J941" i="5"/>
  <c r="F948" i="5"/>
  <c r="F955" i="5"/>
  <c r="R986" i="5"/>
  <c r="J986" i="5"/>
  <c r="I986" i="5"/>
  <c r="R998" i="5"/>
  <c r="J998" i="5"/>
  <c r="I998" i="5"/>
  <c r="H998" i="5"/>
  <c r="F998" i="5"/>
  <c r="AB1004" i="5"/>
  <c r="AB1013" i="5"/>
  <c r="AB1020" i="5"/>
  <c r="R1026" i="5"/>
  <c r="J1026" i="5"/>
  <c r="I1026" i="5"/>
  <c r="F1026" i="5"/>
  <c r="R1122" i="5"/>
  <c r="J1122" i="5"/>
  <c r="I1122" i="5"/>
  <c r="H1122" i="5"/>
  <c r="F1122" i="5"/>
  <c r="AB1143" i="5"/>
  <c r="S1143" i="5"/>
  <c r="AB1144" i="5"/>
  <c r="AB1456" i="5"/>
  <c r="S1456" i="5"/>
  <c r="AB965" i="5"/>
  <c r="AB976" i="5"/>
  <c r="R1010"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J1156" i="5"/>
  <c r="I1156" i="5"/>
  <c r="H1156" i="5"/>
  <c r="F1156" i="5"/>
  <c r="R115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J997" i="5"/>
  <c r="I997" i="5"/>
  <c r="H997" i="5"/>
  <c r="F997" i="5"/>
  <c r="AB1005" i="5"/>
  <c r="J1009" i="5"/>
  <c r="I1009" i="5"/>
  <c r="H1009" i="5"/>
  <c r="R1014" i="5"/>
  <c r="J1014" i="5"/>
  <c r="I1014" i="5"/>
  <c r="H1014" i="5"/>
  <c r="F1014" i="5"/>
  <c r="AB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AB981" i="5"/>
  <c r="AB996" i="5"/>
  <c r="R1002" i="5"/>
  <c r="J1002" i="5"/>
  <c r="I1002" i="5"/>
  <c r="S1013" i="5"/>
  <c r="J1121" i="5"/>
  <c r="I1121" i="5"/>
  <c r="H1121" i="5"/>
  <c r="R1121" i="5"/>
  <c r="F1121" i="5"/>
  <c r="R1135" i="5"/>
  <c r="J1135" i="5"/>
  <c r="I1135" i="5"/>
  <c r="F1135" i="5"/>
  <c r="H1135" i="5"/>
  <c r="J1172" i="5"/>
  <c r="I1172" i="5"/>
  <c r="R1172" i="5"/>
  <c r="H1172" i="5"/>
  <c r="F1172" i="5"/>
  <c r="AB1180" i="5"/>
  <c r="J1220" i="5"/>
  <c r="I1220" i="5"/>
  <c r="H1220" i="5"/>
  <c r="F1220" i="5"/>
  <c r="R1220" i="5"/>
  <c r="H1227" i="5"/>
  <c r="J1227" i="5"/>
  <c r="I1227" i="5"/>
  <c r="F1227" i="5"/>
  <c r="R1227" i="5"/>
  <c r="J1240" i="5"/>
  <c r="I1240" i="5"/>
  <c r="F1240" i="5"/>
  <c r="R1240" i="5"/>
  <c r="AB1262" i="5"/>
  <c r="R1513" i="5"/>
  <c r="J1513" i="5"/>
  <c r="H1513" i="5"/>
  <c r="I1513" i="5"/>
  <c r="F1513" i="5"/>
  <c r="I885" i="5"/>
  <c r="I901" i="5"/>
  <c r="I917" i="5"/>
  <c r="I933" i="5"/>
  <c r="S945" i="5"/>
  <c r="I953" i="5"/>
  <c r="H953" i="5"/>
  <c r="R954" i="5"/>
  <c r="J954" i="5"/>
  <c r="I954" i="5"/>
  <c r="R955" i="5"/>
  <c r="I955" i="5"/>
  <c r="J955"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R948" i="5"/>
  <c r="AB957" i="5"/>
  <c r="S965" i="5"/>
  <c r="R966" i="5"/>
  <c r="J966" i="5"/>
  <c r="I966" i="5"/>
  <c r="F966" i="5"/>
  <c r="I969" i="5"/>
  <c r="H969" i="5"/>
  <c r="I973" i="5"/>
  <c r="H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J1184" i="5"/>
  <c r="I1184" i="5"/>
  <c r="H1184" i="5"/>
  <c r="R1221" i="5"/>
  <c r="J1221" i="5"/>
  <c r="I1221" i="5"/>
  <c r="AB1240" i="5"/>
  <c r="S1240" i="5"/>
  <c r="I1345" i="5"/>
  <c r="H1345" i="5"/>
  <c r="F1345" i="5"/>
  <c r="R1345"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S1400" i="5"/>
  <c r="AB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H1219" i="5"/>
  <c r="R1219" i="5"/>
  <c r="J1219" i="5"/>
  <c r="I1219" i="5"/>
  <c r="AB1222" i="5"/>
  <c r="S1222" i="5"/>
  <c r="AB1244" i="5"/>
  <c r="AB1252" i="5"/>
  <c r="AB1413" i="5"/>
  <c r="S1413" i="5"/>
  <c r="R1537" i="5"/>
  <c r="J1537" i="5"/>
  <c r="I1537" i="5"/>
  <c r="H1537" i="5"/>
  <c r="F1537" i="5"/>
  <c r="R1545" i="5"/>
  <c r="J1545" i="5"/>
  <c r="I1545" i="5"/>
  <c r="H1545" i="5"/>
  <c r="F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AB1220" i="5"/>
  <c r="J1232" i="5"/>
  <c r="I1232" i="5"/>
  <c r="R1232" i="5"/>
  <c r="H1232" i="5"/>
  <c r="F1232" i="5"/>
  <c r="R1256" i="5"/>
  <c r="J1256" i="5"/>
  <c r="I1256" i="5"/>
  <c r="F1256" i="5"/>
  <c r="R1260" i="5"/>
  <c r="J1260" i="5"/>
  <c r="I1260" i="5"/>
  <c r="F1260" i="5"/>
  <c r="R1264" i="5"/>
  <c r="J1264" i="5"/>
  <c r="I1264" i="5"/>
  <c r="F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F1432" i="5"/>
  <c r="R1432" i="5"/>
  <c r="I1432" i="5"/>
  <c r="J1432" i="5"/>
  <c r="S1494" i="5"/>
  <c r="AB1494" i="5"/>
  <c r="AB1028" i="5"/>
  <c r="AB1037" i="5"/>
  <c r="AB1044" i="5"/>
  <c r="AB1053" i="5"/>
  <c r="AB1060" i="5"/>
  <c r="AB1069" i="5"/>
  <c r="AB1076" i="5"/>
  <c r="AB1085" i="5"/>
  <c r="AB1092" i="5"/>
  <c r="AB1101" i="5"/>
  <c r="AB1108" i="5"/>
  <c r="AB1117" i="5"/>
  <c r="AB1124" i="5"/>
  <c r="AB1139" i="5"/>
  <c r="AB1141" i="5"/>
  <c r="AB1148"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R1046" i="5"/>
  <c r="J1046" i="5"/>
  <c r="I1046" i="5"/>
  <c r="J1061" i="5"/>
  <c r="I1061" i="5"/>
  <c r="H1061" i="5"/>
  <c r="R1062" i="5"/>
  <c r="J1062" i="5"/>
  <c r="I1062" i="5"/>
  <c r="J1077" i="5"/>
  <c r="I1077" i="5"/>
  <c r="H1077" i="5"/>
  <c r="R1078" i="5"/>
  <c r="J1078" i="5"/>
  <c r="I1078" i="5"/>
  <c r="J1093" i="5"/>
  <c r="I1093" i="5"/>
  <c r="H1093" i="5"/>
  <c r="R1094" i="5"/>
  <c r="J1094" i="5"/>
  <c r="I1094" i="5"/>
  <c r="J1109" i="5"/>
  <c r="I1109" i="5"/>
  <c r="H1109" i="5"/>
  <c r="R1110" i="5"/>
  <c r="J1125" i="5"/>
  <c r="I1125" i="5"/>
  <c r="H1125" i="5"/>
  <c r="R1126" i="5"/>
  <c r="J1126" i="5"/>
  <c r="I1126" i="5"/>
  <c r="AB1134" i="5"/>
  <c r="R1142" i="5"/>
  <c r="J1142" i="5"/>
  <c r="I1142"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R1217" i="5"/>
  <c r="I1217" i="5"/>
  <c r="H1217" i="5"/>
  <c r="F1217" i="5"/>
  <c r="AB1219" i="5"/>
  <c r="S1219" i="5"/>
  <c r="S1226" i="5"/>
  <c r="AB1247" i="5"/>
  <c r="S1247" i="5"/>
  <c r="I1337" i="5"/>
  <c r="H1337" i="5"/>
  <c r="F1337" i="5"/>
  <c r="I1353" i="5"/>
  <c r="F1353" i="5"/>
  <c r="S1357" i="5"/>
  <c r="I1363" i="5"/>
  <c r="H1363" i="5"/>
  <c r="F1363" i="5"/>
  <c r="AB1367" i="5"/>
  <c r="AB1387" i="5"/>
  <c r="S1387" i="5"/>
  <c r="I1393" i="5"/>
  <c r="R1393" i="5"/>
  <c r="J1393" i="5"/>
  <c r="H1393" i="5"/>
  <c r="R1396" i="5"/>
  <c r="J1396" i="5"/>
  <c r="S1402" i="5"/>
  <c r="AB1402" i="5"/>
  <c r="H1424" i="5"/>
  <c r="F1424" i="5"/>
  <c r="R1424" i="5"/>
  <c r="I1424" i="5"/>
  <c r="J1478" i="5"/>
  <c r="I1478" i="5"/>
  <c r="F1478" i="5"/>
  <c r="R147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I1186" i="5"/>
  <c r="AB1192" i="5"/>
  <c r="AB1195" i="5"/>
  <c r="H1201" i="5"/>
  <c r="F1214" i="5"/>
  <c r="I1218" i="5"/>
  <c r="AB1224" i="5"/>
  <c r="J1225" i="5"/>
  <c r="AB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R1387" i="5"/>
  <c r="F1396" i="5"/>
  <c r="I1408" i="5"/>
  <c r="I1410" i="5"/>
  <c r="J1410" i="5"/>
  <c r="H1410" i="5"/>
  <c r="F1410" i="5"/>
  <c r="J1458" i="5"/>
  <c r="I1458" i="5"/>
  <c r="R1458" i="5"/>
  <c r="H1458" i="5"/>
  <c r="F1458" i="5"/>
  <c r="J1469" i="5"/>
  <c r="H1469" i="5"/>
  <c r="R1469" i="5"/>
  <c r="AB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R1355" i="5"/>
  <c r="AB1363" i="5"/>
  <c r="R1364" i="5"/>
  <c r="J1364" i="5"/>
  <c r="S1367" i="5"/>
  <c r="I1369" i="5"/>
  <c r="F1369" i="5"/>
  <c r="S1373" i="5"/>
  <c r="I1379" i="5"/>
  <c r="H1379" i="5"/>
  <c r="F1379" i="5"/>
  <c r="AB1383" i="5"/>
  <c r="J1395" i="5"/>
  <c r="I1396" i="5"/>
  <c r="AB1436" i="5"/>
  <c r="S1436" i="5"/>
  <c r="F1442" i="5"/>
  <c r="J1446" i="5"/>
  <c r="I1446" i="5"/>
  <c r="F1446" i="5"/>
  <c r="R1446" i="5"/>
  <c r="F1459" i="5"/>
  <c r="R1459" i="5"/>
  <c r="J1459" i="5"/>
  <c r="I1459" i="5"/>
  <c r="H1459" i="5"/>
  <c r="R1529" i="5"/>
  <c r="J1529" i="5"/>
  <c r="H1529" i="5"/>
  <c r="I1529" i="5"/>
  <c r="J1535" i="5"/>
  <c r="S1549" i="5"/>
  <c r="AB1549" i="5"/>
  <c r="S1138" i="5"/>
  <c r="S1140" i="5"/>
  <c r="S1147" i="5"/>
  <c r="S1154" i="5"/>
  <c r="F1178" i="5"/>
  <c r="AB1178" i="5"/>
  <c r="F1210" i="5"/>
  <c r="AB1210" i="5"/>
  <c r="I1241" i="5"/>
  <c r="F1242" i="5"/>
  <c r="AB1242" i="5"/>
  <c r="I1357" i="5"/>
  <c r="H1357" i="5"/>
  <c r="F1357" i="5"/>
  <c r="I1367" i="5"/>
  <c r="H1367" i="5"/>
  <c r="R1367" i="5"/>
  <c r="J1367" i="5"/>
  <c r="S1393" i="5"/>
  <c r="AB1399" i="5"/>
  <c r="S1399" i="5"/>
  <c r="H1408" i="5"/>
  <c r="F1408" i="5"/>
  <c r="AB1414" i="5"/>
  <c r="H1416" i="5"/>
  <c r="F1416" i="5"/>
  <c r="R1416" i="5"/>
  <c r="J1416" i="5"/>
  <c r="I1416" i="5"/>
  <c r="I1418" i="5"/>
  <c r="J1418" i="5"/>
  <c r="H1418" i="5"/>
  <c r="R1418" i="5"/>
  <c r="F1418" i="5"/>
  <c r="AB1428" i="5"/>
  <c r="S1428" i="5"/>
  <c r="J1462" i="5"/>
  <c r="I1462" i="5"/>
  <c r="R1462" i="5"/>
  <c r="F1462" i="5"/>
  <c r="AB1473" i="5"/>
  <c r="S1473" i="5"/>
  <c r="J1474" i="5"/>
  <c r="I1474" i="5"/>
  <c r="R1474" i="5"/>
  <c r="H1474" i="5"/>
  <c r="F1474" i="5"/>
  <c r="F1483" i="5"/>
  <c r="R1483" i="5"/>
  <c r="I1483" i="5"/>
  <c r="H1483" i="5"/>
  <c r="J1483" i="5"/>
  <c r="R1542" i="5"/>
  <c r="J1542" i="5"/>
  <c r="I1542" i="5"/>
  <c r="H1542" i="5"/>
  <c r="F1542" i="5"/>
  <c r="AB1642" i="5"/>
  <c r="S1642" i="5"/>
  <c r="F1136" i="5"/>
  <c r="F1152" i="5"/>
  <c r="S1160" i="5"/>
  <c r="F1161" i="5"/>
  <c r="I1165" i="5"/>
  <c r="F1166" i="5"/>
  <c r="AB1166" i="5"/>
  <c r="S1174" i="5"/>
  <c r="AB1179" i="5"/>
  <c r="J1182" i="5"/>
  <c r="H1190" i="5"/>
  <c r="S1192" i="5"/>
  <c r="I1197" i="5"/>
  <c r="F1198" i="5"/>
  <c r="AB1198" i="5"/>
  <c r="S1206" i="5"/>
  <c r="AB1211" i="5"/>
  <c r="J1214" i="5"/>
  <c r="S1224" i="5"/>
  <c r="F1225" i="5"/>
  <c r="I1229" i="5"/>
  <c r="F1230" i="5"/>
  <c r="AB1230" i="5"/>
  <c r="S1238" i="5"/>
  <c r="J1241" i="5"/>
  <c r="AB1243" i="5"/>
  <c r="J1246" i="5"/>
  <c r="F1336" i="5"/>
  <c r="J1337" i="5"/>
  <c r="I1341" i="5"/>
  <c r="R1341" i="5"/>
  <c r="AB1345" i="5"/>
  <c r="AB1347" i="5"/>
  <c r="AB1351" i="5"/>
  <c r="I1352" i="5"/>
  <c r="H1353" i="5"/>
  <c r="J1363" i="5"/>
  <c r="H1364" i="5"/>
  <c r="AB1371" i="5"/>
  <c r="S1371" i="5"/>
  <c r="I1377" i="5"/>
  <c r="R1377" i="5"/>
  <c r="J1377" i="5"/>
  <c r="H1377" i="5"/>
  <c r="AB1378" i="5"/>
  <c r="H1412" i="5"/>
  <c r="R1412" i="5"/>
  <c r="I1412" i="5"/>
  <c r="F1412" i="5"/>
  <c r="AB1420" i="5"/>
  <c r="S1420" i="5"/>
  <c r="S1434" i="5"/>
  <c r="J1498" i="5"/>
  <c r="I1498" i="5"/>
  <c r="R1498" i="5"/>
  <c r="H1498" i="5"/>
  <c r="R1509" i="5"/>
  <c r="J1509" i="5"/>
  <c r="H1509" i="5"/>
  <c r="F1509" i="5"/>
  <c r="AB1532" i="5"/>
  <c r="S1532" i="5"/>
  <c r="S1142" i="5"/>
  <c r="AB1167" i="5"/>
  <c r="F1186" i="5"/>
  <c r="AB1186" i="5"/>
  <c r="AB1199" i="5"/>
  <c r="F1218" i="5"/>
  <c r="AB1218" i="5"/>
  <c r="AB1231" i="5"/>
  <c r="F1250" i="5"/>
  <c r="AB1250" i="5"/>
  <c r="R1257" i="5"/>
  <c r="R1261" i="5"/>
  <c r="R1265" i="5"/>
  <c r="R1269" i="5"/>
  <c r="R1273" i="5"/>
  <c r="R1277" i="5"/>
  <c r="R1281" i="5"/>
  <c r="R1289" i="5"/>
  <c r="R1293" i="5"/>
  <c r="R1301" i="5"/>
  <c r="R1305" i="5"/>
  <c r="R1309" i="5"/>
  <c r="R1321" i="5"/>
  <c r="R1333" i="5"/>
  <c r="R1337" i="5"/>
  <c r="J1353" i="5"/>
  <c r="R1356" i="5"/>
  <c r="J1356" i="5"/>
  <c r="I1356" i="5"/>
  <c r="H1356" i="5"/>
  <c r="AB1357" i="5"/>
  <c r="S1361" i="5"/>
  <c r="R1363" i="5"/>
  <c r="AB1370" i="5"/>
  <c r="I1371" i="5"/>
  <c r="H1371" i="5"/>
  <c r="R1371" i="5"/>
  <c r="AB1379" i="5"/>
  <c r="R1380" i="5"/>
  <c r="J1380" i="5"/>
  <c r="S1389" i="5"/>
  <c r="F1393" i="5"/>
  <c r="I1395" i="5"/>
  <c r="H1395" i="5"/>
  <c r="F1395" i="5"/>
  <c r="S1426" i="5"/>
  <c r="AB1441" i="5"/>
  <c r="S1441" i="5"/>
  <c r="J1442" i="5"/>
  <c r="I1442" i="5"/>
  <c r="R1442" i="5"/>
  <c r="H1442" i="5"/>
  <c r="AB1452" i="5"/>
  <c r="S1452" i="5"/>
  <c r="J1453" i="5"/>
  <c r="H1453" i="5"/>
  <c r="R1453" i="5"/>
  <c r="F1453" i="5"/>
  <c r="R1481" i="5"/>
  <c r="J1481" i="5"/>
  <c r="H1481" i="5"/>
  <c r="I1481" i="5"/>
  <c r="F1481" i="5"/>
  <c r="R1493" i="5"/>
  <c r="J1493" i="5"/>
  <c r="H1493" i="5"/>
  <c r="I1493" i="5"/>
  <c r="F1493" i="5"/>
  <c r="AB1500" i="5"/>
  <c r="S1500" i="5"/>
  <c r="AB1504" i="5"/>
  <c r="S1504" i="5"/>
  <c r="S1506" i="5"/>
  <c r="AB1506" i="5"/>
  <c r="F1515" i="5"/>
  <c r="R1515" i="5"/>
  <c r="I1515" i="5"/>
  <c r="H1515" i="5"/>
  <c r="F1518" i="5"/>
  <c r="J1530" i="5"/>
  <c r="I1530" i="5"/>
  <c r="R1530" i="5"/>
  <c r="H1530" i="5"/>
  <c r="F1530" i="5"/>
  <c r="AB1634" i="5"/>
  <c r="S1634" i="5"/>
  <c r="AB1395" i="5"/>
  <c r="AB1412" i="5"/>
  <c r="S1412" i="5"/>
  <c r="S1458" i="5"/>
  <c r="AB1458" i="5"/>
  <c r="F1463" i="5"/>
  <c r="R1463" i="5"/>
  <c r="H1463" i="5"/>
  <c r="AB1472" i="5"/>
  <c r="S1472" i="5"/>
  <c r="F1475" i="5"/>
  <c r="R1475" i="5"/>
  <c r="J1475" i="5"/>
  <c r="S1510" i="5"/>
  <c r="AB1510" i="5"/>
  <c r="S1522" i="5"/>
  <c r="J1549" i="5"/>
  <c r="I1549" i="5"/>
  <c r="H1549" i="5"/>
  <c r="F1549" i="5"/>
  <c r="R1549" i="5"/>
  <c r="J1756" i="5"/>
  <c r="I1756" i="5"/>
  <c r="H1756" i="5"/>
  <c r="R1756" i="5"/>
  <c r="F1756" i="5"/>
  <c r="S1353" i="5"/>
  <c r="S1369" i="5"/>
  <c r="S1385" i="5"/>
  <c r="AB1415" i="5"/>
  <c r="AB1424" i="5"/>
  <c r="S1424" i="5"/>
  <c r="AB1432" i="5"/>
  <c r="S1432" i="5"/>
  <c r="AB1440" i="5"/>
  <c r="S1440" i="5"/>
  <c r="F1443" i="5"/>
  <c r="R1443" i="5"/>
  <c r="J1443" i="5"/>
  <c r="AB1453" i="5"/>
  <c r="S1453" i="5"/>
  <c r="S1462" i="5"/>
  <c r="AB1462" i="5"/>
  <c r="S1474" i="5"/>
  <c r="AB1474" i="5"/>
  <c r="H1475" i="5"/>
  <c r="F1479" i="5"/>
  <c r="R1479" i="5"/>
  <c r="H1479" i="5"/>
  <c r="F1482" i="5"/>
  <c r="J1486" i="5"/>
  <c r="I1486" i="5"/>
  <c r="H1486" i="5"/>
  <c r="AB1488" i="5"/>
  <c r="S1488" i="5"/>
  <c r="R1497" i="5"/>
  <c r="J1497" i="5"/>
  <c r="H1497" i="5"/>
  <c r="I1497" i="5"/>
  <c r="F1499" i="5"/>
  <c r="R1499" i="5"/>
  <c r="I1499" i="5"/>
  <c r="H1499" i="5"/>
  <c r="J1514" i="5"/>
  <c r="I1514" i="5"/>
  <c r="R1514" i="5"/>
  <c r="H1514" i="5"/>
  <c r="F1519" i="5"/>
  <c r="R1519" i="5"/>
  <c r="H1519" i="5"/>
  <c r="F1543" i="5"/>
  <c r="R1543" i="5"/>
  <c r="J1543" i="5"/>
  <c r="I1543" i="5"/>
  <c r="S1341" i="5"/>
  <c r="I1349" i="5"/>
  <c r="AB1359" i="5"/>
  <c r="AB1364" i="5"/>
  <c r="I1365" i="5"/>
  <c r="AB1375" i="5"/>
  <c r="AB1380" i="5"/>
  <c r="AB1391" i="5"/>
  <c r="AB1396" i="5"/>
  <c r="I1397" i="5"/>
  <c r="I1402" i="5"/>
  <c r="J1402" i="5"/>
  <c r="H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R1525" i="5"/>
  <c r="J1525" i="5"/>
  <c r="H1525" i="5"/>
  <c r="J1534" i="5"/>
  <c r="I1534" i="5"/>
  <c r="H1534" i="5"/>
  <c r="AB1536" i="5"/>
  <c r="S1553" i="5"/>
  <c r="AB1706" i="5"/>
  <c r="S1706" i="5"/>
  <c r="R1830" i="5"/>
  <c r="I1830" i="5"/>
  <c r="J1830" i="5"/>
  <c r="H1830" i="5"/>
  <c r="F1830" i="5"/>
  <c r="S1349" i="5"/>
  <c r="S1365" i="5"/>
  <c r="S1381" i="5"/>
  <c r="S1397" i="5"/>
  <c r="AB1404" i="5"/>
  <c r="S1404" i="5"/>
  <c r="S1446" i="5"/>
  <c r="AB1446" i="5"/>
  <c r="AB1457" i="5"/>
  <c r="S1457" i="5"/>
  <c r="J1463" i="5"/>
  <c r="J1482" i="5"/>
  <c r="I1482" i="5"/>
  <c r="R1482" i="5"/>
  <c r="H1482" i="5"/>
  <c r="F1487" i="5"/>
  <c r="R1487" i="5"/>
  <c r="H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J1454" i="5"/>
  <c r="I1454" i="5"/>
  <c r="AB1480" i="5"/>
  <c r="S1482" i="5"/>
  <c r="AB1482" i="5"/>
  <c r="J1490" i="5"/>
  <c r="I1490" i="5"/>
  <c r="I1504" i="5"/>
  <c r="H1504" i="5"/>
  <c r="F1504" i="5"/>
  <c r="F1507" i="5"/>
  <c r="R1507" i="5"/>
  <c r="AB1508" i="5"/>
  <c r="S1514" i="5"/>
  <c r="AB1514" i="5"/>
  <c r="J1522" i="5"/>
  <c r="I1522" i="5"/>
  <c r="AB1626" i="5"/>
  <c r="S1626" i="5"/>
  <c r="AB1698" i="5"/>
  <c r="S1698" i="5"/>
  <c r="AB2470" i="5"/>
  <c r="S2470" i="5"/>
  <c r="J1406" i="5"/>
  <c r="J1414" i="5"/>
  <c r="J1422" i="5"/>
  <c r="AB1423" i="5"/>
  <c r="J1430" i="5"/>
  <c r="AB1431" i="5"/>
  <c r="AB1439" i="5"/>
  <c r="AB1444" i="5"/>
  <c r="AB1445" i="5"/>
  <c r="H1448" i="5"/>
  <c r="F1448" i="5"/>
  <c r="J1450" i="5"/>
  <c r="I1450" i="5"/>
  <c r="F1467" i="5"/>
  <c r="R1467" i="5"/>
  <c r="AB1476" i="5"/>
  <c r="AB1477" i="5"/>
  <c r="H1480" i="5"/>
  <c r="F1480" i="5"/>
  <c r="AB1485" i="5"/>
  <c r="S1486" i="5"/>
  <c r="AB1486" i="5"/>
  <c r="F1511" i="5"/>
  <c r="R1511" i="5"/>
  <c r="AB1512" i="5"/>
  <c r="AB1517" i="5"/>
  <c r="S1518" i="5"/>
  <c r="AB1518" i="5"/>
  <c r="R1538" i="5"/>
  <c r="J1538" i="5"/>
  <c r="I1538" i="5"/>
  <c r="AB1541" i="5"/>
  <c r="AB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S1666" i="5"/>
  <c r="AB1674" i="5"/>
  <c r="S1674"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J1470" i="5"/>
  <c r="I1470" i="5"/>
  <c r="I1488" i="5"/>
  <c r="H1488" i="5"/>
  <c r="F1488" i="5"/>
  <c r="F1490" i="5"/>
  <c r="F1491" i="5"/>
  <c r="R1491" i="5"/>
  <c r="AB1492" i="5"/>
  <c r="S1498" i="5"/>
  <c r="AB1498" i="5"/>
  <c r="J1506" i="5"/>
  <c r="I1506" i="5"/>
  <c r="J1507" i="5"/>
  <c r="I1520" i="5"/>
  <c r="H1520" i="5"/>
  <c r="F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R1766" i="5"/>
  <c r="I1766" i="5"/>
  <c r="J1766" i="5"/>
  <c r="H1766" i="5"/>
  <c r="AB1403" i="5"/>
  <c r="AB1411" i="5"/>
  <c r="AB1419" i="5"/>
  <c r="J1423" i="5"/>
  <c r="AB1427" i="5"/>
  <c r="J1431" i="5"/>
  <c r="AB1435" i="5"/>
  <c r="J1439" i="5"/>
  <c r="R1448" i="5"/>
  <c r="R1449" i="5"/>
  <c r="F1451" i="5"/>
  <c r="R1451" i="5"/>
  <c r="H1454" i="5"/>
  <c r="AB1460" i="5"/>
  <c r="AB1461" i="5"/>
  <c r="J1466" i="5"/>
  <c r="I1466" i="5"/>
  <c r="I1467" i="5"/>
  <c r="R1480" i="5"/>
  <c r="I1492" i="5"/>
  <c r="H1492" i="5"/>
  <c r="F1492" i="5"/>
  <c r="F1495" i="5"/>
  <c r="R1495" i="5"/>
  <c r="AB1496" i="5"/>
  <c r="AB1501" i="5"/>
  <c r="S1502" i="5"/>
  <c r="AB1502" i="5"/>
  <c r="S1508" i="5"/>
  <c r="J1511" i="5"/>
  <c r="I1524" i="5"/>
  <c r="H1524" i="5"/>
  <c r="F1524" i="5"/>
  <c r="F1527" i="5"/>
  <c r="R1527" i="5"/>
  <c r="AB1528" i="5"/>
  <c r="AB1533" i="5"/>
  <c r="S1534" i="5"/>
  <c r="AB1534" i="5"/>
  <c r="F1538" i="5"/>
  <c r="F1539" i="5"/>
  <c r="R1539" i="5"/>
  <c r="S1544" i="5"/>
  <c r="AB1619" i="5"/>
  <c r="AB1623" i="5"/>
  <c r="AB1638" i="5"/>
  <c r="S1638" i="5"/>
  <c r="AB1655" i="5"/>
  <c r="AB1670" i="5"/>
  <c r="S1670" i="5"/>
  <c r="R1676" i="5"/>
  <c r="J1676" i="5"/>
  <c r="I1676" i="5"/>
  <c r="H1676" i="5"/>
  <c r="AB1687" i="5"/>
  <c r="AB1702" i="5"/>
  <c r="S1702" i="5"/>
  <c r="AB1719" i="5"/>
  <c r="R1741" i="5"/>
  <c r="J1741" i="5"/>
  <c r="I1741" i="5"/>
  <c r="H1741" i="5"/>
  <c r="F1741" i="5"/>
  <c r="J1768" i="5"/>
  <c r="I1768" i="5"/>
  <c r="H1768" i="5"/>
  <c r="F1768" i="5"/>
  <c r="R1773" i="5"/>
  <c r="J1773" i="5"/>
  <c r="I1773" i="5"/>
  <c r="H1773" i="5"/>
  <c r="F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R1656" i="5"/>
  <c r="J1656" i="5"/>
  <c r="I1656" i="5"/>
  <c r="H1656" i="5"/>
  <c r="AB1682" i="5"/>
  <c r="S1682" i="5"/>
  <c r="F1704" i="5"/>
  <c r="AB1714" i="5"/>
  <c r="S1714"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R1692" i="5"/>
  <c r="J1692" i="5"/>
  <c r="I1692" i="5"/>
  <c r="H1692" i="5"/>
  <c r="AB1718" i="5"/>
  <c r="S1718" i="5"/>
  <c r="F1749" i="5"/>
  <c r="R1808" i="5"/>
  <c r="J1808" i="5"/>
  <c r="I1808" i="5"/>
  <c r="H1808" i="5"/>
  <c r="F1808" i="5"/>
  <c r="AB1858" i="5"/>
  <c r="AB1546" i="5"/>
  <c r="I1551" i="5"/>
  <c r="H1551" i="5"/>
  <c r="F1551" i="5"/>
  <c r="AB1552" i="5"/>
  <c r="S1619" i="5"/>
  <c r="S1623" i="5"/>
  <c r="R1632" i="5"/>
  <c r="J1632" i="5"/>
  <c r="I1632" i="5"/>
  <c r="H1632" i="5"/>
  <c r="AB1643" i="5"/>
  <c r="AB1658" i="5"/>
  <c r="S1658" i="5"/>
  <c r="AB1675" i="5"/>
  <c r="AB1690" i="5"/>
  <c r="S1690" i="5"/>
  <c r="AB1707" i="5"/>
  <c r="AB1722" i="5"/>
  <c r="S1722" i="5"/>
  <c r="R1728" i="5"/>
  <c r="J1728" i="5"/>
  <c r="I1728" i="5"/>
  <c r="H1728" i="5"/>
  <c r="S1744" i="5"/>
  <c r="AB1744" i="5"/>
  <c r="H1749" i="5"/>
  <c r="AB1910" i="5"/>
  <c r="S1910" i="5"/>
  <c r="AB1547" i="5"/>
  <c r="J1553" i="5"/>
  <c r="R1557" i="5"/>
  <c r="J1557" i="5"/>
  <c r="R1561" i="5"/>
  <c r="J1561" i="5"/>
  <c r="R1565" i="5"/>
  <c r="J1565" i="5"/>
  <c r="R1569" i="5"/>
  <c r="J1569" i="5"/>
  <c r="R1573" i="5"/>
  <c r="J1573" i="5"/>
  <c r="R1577" i="5"/>
  <c r="R1581" i="5"/>
  <c r="J1581" i="5"/>
  <c r="R1585" i="5"/>
  <c r="J1585" i="5"/>
  <c r="R1589" i="5"/>
  <c r="J1589" i="5"/>
  <c r="R1597" i="5"/>
  <c r="J1597" i="5"/>
  <c r="R1601" i="5"/>
  <c r="J1601" i="5"/>
  <c r="R1605" i="5"/>
  <c r="J1605" i="5"/>
  <c r="R1613" i="5"/>
  <c r="J1613" i="5"/>
  <c r="R1617" i="5"/>
  <c r="J1617" i="5"/>
  <c r="R1621" i="5"/>
  <c r="J1621" i="5"/>
  <c r="AB1627" i="5"/>
  <c r="AB1630" i="5"/>
  <c r="S1630" i="5"/>
  <c r="R1636" i="5"/>
  <c r="J1636" i="5"/>
  <c r="I1636" i="5"/>
  <c r="H1636" i="5"/>
  <c r="AB1647" i="5"/>
  <c r="AB1662" i="5"/>
  <c r="S1662" i="5"/>
  <c r="AB1679" i="5"/>
  <c r="AB1694" i="5"/>
  <c r="S1694" i="5"/>
  <c r="AB1726" i="5"/>
  <c r="S1726" i="5"/>
  <c r="R1757" i="5"/>
  <c r="J1757" i="5"/>
  <c r="I1757" i="5"/>
  <c r="H1757" i="5"/>
  <c r="F1757" i="5"/>
  <c r="R1769" i="5"/>
  <c r="J1769" i="5"/>
  <c r="I1769" i="5"/>
  <c r="H1769" i="5"/>
  <c r="F1769" i="5"/>
  <c r="R1891" i="5"/>
  <c r="H1891" i="5"/>
  <c r="J1891" i="5"/>
  <c r="I1891" i="5"/>
  <c r="F1891"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F1778" i="5"/>
  <c r="R1778" i="5"/>
  <c r="J1778" i="5"/>
  <c r="I1778" i="5"/>
  <c r="F1782" i="5"/>
  <c r="R1782" i="5"/>
  <c r="J1782" i="5"/>
  <c r="I1782" i="5"/>
  <c r="F1790" i="5"/>
  <c r="R1790" i="5"/>
  <c r="J1790" i="5"/>
  <c r="I1790" i="5"/>
  <c r="F1794" i="5"/>
  <c r="R1794" i="5"/>
  <c r="J1794" i="5"/>
  <c r="I1794" i="5"/>
  <c r="F1798" i="5"/>
  <c r="R1798" i="5"/>
  <c r="J1798" i="5"/>
  <c r="I1798" i="5"/>
  <c r="F1802" i="5"/>
  <c r="R1802" i="5"/>
  <c r="J1802" i="5"/>
  <c r="I1802" i="5"/>
  <c r="F1806" i="5"/>
  <c r="R1806" i="5"/>
  <c r="J1806" i="5"/>
  <c r="I1806" i="5"/>
  <c r="AB1846" i="5"/>
  <c r="AB1850" i="5"/>
  <c r="AB1862" i="5"/>
  <c r="R1875" i="5"/>
  <c r="H1875" i="5"/>
  <c r="J1875" i="5"/>
  <c r="I1875" i="5"/>
  <c r="F1875" i="5"/>
  <c r="AB1931" i="5"/>
  <c r="AB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F1758" i="5"/>
  <c r="R1758" i="5"/>
  <c r="I1758" i="5"/>
  <c r="AB1759" i="5"/>
  <c r="F1765" i="5"/>
  <c r="J1774" i="5"/>
  <c r="R1813" i="5"/>
  <c r="J1813" i="5"/>
  <c r="I1813" i="5"/>
  <c r="H1813" i="5"/>
  <c r="AB1815" i="5"/>
  <c r="AB1818" i="5"/>
  <c r="R1827" i="5"/>
  <c r="J1827" i="5"/>
  <c r="I1827" i="5"/>
  <c r="H1827" i="5"/>
  <c r="J1828" i="5"/>
  <c r="I1828" i="5"/>
  <c r="H1828" i="5"/>
  <c r="F1828"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H1782" i="5"/>
  <c r="H1790" i="5"/>
  <c r="H1794" i="5"/>
  <c r="H1798" i="5"/>
  <c r="H1802" i="5"/>
  <c r="H1806" i="5"/>
  <c r="F1827" i="5"/>
  <c r="R1828" i="5"/>
  <c r="AB1830" i="5"/>
  <c r="AB1886" i="5"/>
  <c r="S1886" i="5"/>
  <c r="S1738" i="5"/>
  <c r="S1746" i="5"/>
  <c r="F1752" i="5"/>
  <c r="H1758" i="5"/>
  <c r="AB1763" i="5"/>
  <c r="AB1768" i="5"/>
  <c r="S1820" i="5"/>
  <c r="R1823" i="5"/>
  <c r="J1823" i="5"/>
  <c r="I1823" i="5"/>
  <c r="H1823" i="5"/>
  <c r="F1823" i="5"/>
  <c r="R1883" i="5"/>
  <c r="H1883" i="5"/>
  <c r="J1883" i="5"/>
  <c r="I1883" i="5"/>
  <c r="F1883" i="5"/>
  <c r="AB2002" i="5"/>
  <c r="AB1749" i="5"/>
  <c r="F1762" i="5"/>
  <c r="R1762" i="5"/>
  <c r="I1762" i="5"/>
  <c r="R1765" i="5"/>
  <c r="J1765" i="5"/>
  <c r="I1765" i="5"/>
  <c r="AB1776" i="5"/>
  <c r="AB1780" i="5"/>
  <c r="AB1784" i="5"/>
  <c r="AB1788" i="5"/>
  <c r="AB1792" i="5"/>
  <c r="AB1796" i="5"/>
  <c r="AB1800" i="5"/>
  <c r="AB1804" i="5"/>
  <c r="AB1808" i="5"/>
  <c r="R1818" i="5"/>
  <c r="I1818" i="5"/>
  <c r="J1818" i="5"/>
  <c r="H1818" i="5"/>
  <c r="F1818" i="5"/>
  <c r="S1844" i="5"/>
  <c r="AB1844" i="5"/>
  <c r="S1848" i="5"/>
  <c r="AB1848" i="5"/>
  <c r="S1852" i="5"/>
  <c r="AB1852" i="5"/>
  <c r="R1911" i="5"/>
  <c r="J1911" i="5"/>
  <c r="H1911" i="5"/>
  <c r="I1911" i="5"/>
  <c r="F1911" i="5"/>
  <c r="R1943" i="5"/>
  <c r="J1943" i="5"/>
  <c r="I1943" i="5"/>
  <c r="H1943" i="5"/>
  <c r="F1943" i="5"/>
  <c r="S1734" i="5"/>
  <c r="S1736" i="5"/>
  <c r="AB1755" i="5"/>
  <c r="AB1760" i="5"/>
  <c r="J1764" i="5"/>
  <c r="I1764" i="5"/>
  <c r="H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R1820" i="5"/>
  <c r="J1820" i="5"/>
  <c r="I1820" i="5"/>
  <c r="H1820" i="5"/>
  <c r="F1820" i="5"/>
  <c r="AB1839" i="5"/>
  <c r="AB1845" i="5"/>
  <c r="S1845" i="5"/>
  <c r="AB1849" i="5"/>
  <c r="S1849" i="5"/>
  <c r="AB1894" i="5"/>
  <c r="S1894" i="5"/>
  <c r="S1812" i="5"/>
  <c r="S1816" i="5"/>
  <c r="J1824" i="5"/>
  <c r="R1836" i="5"/>
  <c r="R1863" i="5"/>
  <c r="J1863" i="5"/>
  <c r="I1863" i="5"/>
  <c r="H1863" i="5"/>
  <c r="AB1865" i="5"/>
  <c r="S1865" i="5"/>
  <c r="R1907" i="5"/>
  <c r="H1907" i="5"/>
  <c r="J1907" i="5"/>
  <c r="I1907" i="5"/>
  <c r="F1907" i="5"/>
  <c r="R1923" i="5"/>
  <c r="J1923" i="5"/>
  <c r="H1923" i="5"/>
  <c r="I1923" i="5"/>
  <c r="F1923" i="5"/>
  <c r="AB1957" i="5"/>
  <c r="S195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F2138" i="5"/>
  <c r="R2138" i="5"/>
  <c r="J2138" i="5"/>
  <c r="I2138" i="5"/>
  <c r="H2138" i="5"/>
  <c r="S1809" i="5"/>
  <c r="AB1816" i="5"/>
  <c r="S1817" i="5"/>
  <c r="AB1821" i="5"/>
  <c r="S1824" i="5"/>
  <c r="S1836" i="5"/>
  <c r="AB1836" i="5"/>
  <c r="AB1841" i="5"/>
  <c r="R1944" i="5"/>
  <c r="J1944" i="5"/>
  <c r="I1944" i="5"/>
  <c r="H1944" i="5"/>
  <c r="F1944" i="5"/>
  <c r="R1995" i="5"/>
  <c r="J1995" i="5"/>
  <c r="I1995" i="5"/>
  <c r="H1995" i="5"/>
  <c r="F1995" i="5"/>
  <c r="AB2021" i="5"/>
  <c r="S2021" i="5"/>
  <c r="R2084" i="5"/>
  <c r="J2084" i="5"/>
  <c r="I2084" i="5"/>
  <c r="H2084" i="5"/>
  <c r="F2084" i="5"/>
  <c r="F1816" i="5"/>
  <c r="AB1826" i="5"/>
  <c r="R1843" i="5"/>
  <c r="J1843" i="5"/>
  <c r="R1847" i="5"/>
  <c r="J1847" i="5"/>
  <c r="H1847"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S1930" i="5"/>
  <c r="AB1977" i="5"/>
  <c r="S1977" i="5"/>
  <c r="I2051" i="5"/>
  <c r="H2051" i="5"/>
  <c r="R2051" i="5"/>
  <c r="J2051" i="5"/>
  <c r="F2051" i="5"/>
  <c r="I2059" i="5"/>
  <c r="H2059" i="5"/>
  <c r="R2059" i="5"/>
  <c r="J2059" i="5"/>
  <c r="F2059" i="5"/>
  <c r="I2067" i="5"/>
  <c r="H2067" i="5"/>
  <c r="R2067" i="5"/>
  <c r="J2067" i="5"/>
  <c r="F2067" i="5"/>
  <c r="I1816" i="5"/>
  <c r="F1824" i="5"/>
  <c r="H1836" i="5"/>
  <c r="I1840" i="5"/>
  <c r="F1843" i="5"/>
  <c r="AB1866" i="5"/>
  <c r="R1903" i="5"/>
  <c r="H1903" i="5"/>
  <c r="F1903" i="5"/>
  <c r="J1903" i="5"/>
  <c r="AB1914" i="5"/>
  <c r="S1914" i="5"/>
  <c r="S1941" i="5"/>
  <c r="R1963" i="5"/>
  <c r="J1963" i="5"/>
  <c r="I1963" i="5"/>
  <c r="H1963" i="5"/>
  <c r="F1963" i="5"/>
  <c r="AB1989" i="5"/>
  <c r="S1989" i="5"/>
  <c r="R2039" i="5"/>
  <c r="J2039" i="5"/>
  <c r="I2039" i="5"/>
  <c r="H2039" i="5"/>
  <c r="F2039" i="5"/>
  <c r="R2097" i="5"/>
  <c r="J2097" i="5"/>
  <c r="H2097" i="5"/>
  <c r="F2097" i="5"/>
  <c r="F2166" i="5"/>
  <c r="R2166" i="5"/>
  <c r="J2166" i="5"/>
  <c r="I2166" i="5"/>
  <c r="H2166" i="5"/>
  <c r="S1876" i="5"/>
  <c r="I1878" i="5"/>
  <c r="F1878" i="5"/>
  <c r="S1884" i="5"/>
  <c r="I1886" i="5"/>
  <c r="F1886" i="5"/>
  <c r="S1892" i="5"/>
  <c r="I1894" i="5"/>
  <c r="F1894" i="5"/>
  <c r="S1900" i="5"/>
  <c r="I1902" i="5"/>
  <c r="F1902" i="5"/>
  <c r="J1908" i="5"/>
  <c r="J1912" i="5"/>
  <c r="J1916" i="5"/>
  <c r="J1920" i="5"/>
  <c r="S1933" i="5"/>
  <c r="R1935" i="5"/>
  <c r="J1935" i="5"/>
  <c r="I1935" i="5"/>
  <c r="H1935" i="5"/>
  <c r="AB1942" i="5"/>
  <c r="AB1965" i="5"/>
  <c r="S1965" i="5"/>
  <c r="AB1978" i="5"/>
  <c r="R1983" i="5"/>
  <c r="J1983" i="5"/>
  <c r="I1983" i="5"/>
  <c r="H1983" i="5"/>
  <c r="AB1997" i="5"/>
  <c r="S1997" i="5"/>
  <c r="AB2010" i="5"/>
  <c r="R2015" i="5"/>
  <c r="J2015" i="5"/>
  <c r="I2015" i="5"/>
  <c r="H2015" i="5"/>
  <c r="AB2029" i="5"/>
  <c r="S2029" i="5"/>
  <c r="AB2042" i="5"/>
  <c r="R2047" i="5"/>
  <c r="J2047" i="5"/>
  <c r="I2047" i="5"/>
  <c r="H2047" i="5"/>
  <c r="I2075" i="5"/>
  <c r="H2075" i="5"/>
  <c r="R2075" i="5"/>
  <c r="J2075" i="5"/>
  <c r="F2075" i="5"/>
  <c r="J1884" i="5"/>
  <c r="J1892" i="5"/>
  <c r="J1900" i="5"/>
  <c r="S1908" i="5"/>
  <c r="S1912" i="5"/>
  <c r="S1916" i="5"/>
  <c r="S1920" i="5"/>
  <c r="S1924" i="5"/>
  <c r="AB1924" i="5"/>
  <c r="S1945" i="5"/>
  <c r="R1948" i="5"/>
  <c r="J1948" i="5"/>
  <c r="R1971" i="5"/>
  <c r="J1971" i="5"/>
  <c r="I1971" i="5"/>
  <c r="H1971" i="5"/>
  <c r="AB1985" i="5"/>
  <c r="S1985" i="5"/>
  <c r="R2003" i="5"/>
  <c r="J2003" i="5"/>
  <c r="I2003" i="5"/>
  <c r="H2003" i="5"/>
  <c r="AB2017" i="5"/>
  <c r="S2017" i="5"/>
  <c r="J2035"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S1925" i="5"/>
  <c r="R1927" i="5"/>
  <c r="J1927" i="5"/>
  <c r="I1927" i="5"/>
  <c r="H1927" i="5"/>
  <c r="R1928" i="5"/>
  <c r="J1928" i="5"/>
  <c r="AB1945" i="5"/>
  <c r="AB1973" i="5"/>
  <c r="S1973" i="5"/>
  <c r="R1991" i="5"/>
  <c r="J1991" i="5"/>
  <c r="I1991" i="5"/>
  <c r="H1991" i="5"/>
  <c r="AB2005" i="5"/>
  <c r="S2005" i="5"/>
  <c r="R2023" i="5"/>
  <c r="J2023" i="5"/>
  <c r="I2023" i="5"/>
  <c r="H2023" i="5"/>
  <c r="AB2037" i="5"/>
  <c r="S2037" i="5"/>
  <c r="I2079" i="5"/>
  <c r="H2079" i="5"/>
  <c r="R2079" i="5"/>
  <c r="J2079" i="5"/>
  <c r="F207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S1937" i="5"/>
  <c r="R1939" i="5"/>
  <c r="J1939" i="5"/>
  <c r="I1939" i="5"/>
  <c r="H1939" i="5"/>
  <c r="AB1946" i="5"/>
  <c r="AB1961" i="5"/>
  <c r="S1961" i="5"/>
  <c r="AB1974" i="5"/>
  <c r="R1979" i="5"/>
  <c r="J1979" i="5"/>
  <c r="I1979" i="5"/>
  <c r="H1979" i="5"/>
  <c r="AB1993" i="5"/>
  <c r="S1993" i="5"/>
  <c r="AB2006" i="5"/>
  <c r="R2011" i="5"/>
  <c r="AB2025" i="5"/>
  <c r="S2025" i="5"/>
  <c r="AB2038" i="5"/>
  <c r="R2089" i="5"/>
  <c r="I2089" i="5"/>
  <c r="H2089" i="5"/>
  <c r="F2089" i="5"/>
  <c r="R2096" i="5"/>
  <c r="J2096" i="5"/>
  <c r="I2096" i="5"/>
  <c r="H2096" i="5"/>
  <c r="F2096" i="5"/>
  <c r="R2105" i="5"/>
  <c r="J2105" i="5"/>
  <c r="H2105" i="5"/>
  <c r="F2105" i="5"/>
  <c r="R2112" i="5"/>
  <c r="J2112" i="5"/>
  <c r="I2112" i="5"/>
  <c r="H2112" i="5"/>
  <c r="F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I2224" i="5"/>
  <c r="H2224" i="5"/>
  <c r="AB1874" i="5"/>
  <c r="R1878" i="5"/>
  <c r="AB1882" i="5"/>
  <c r="H1884" i="5"/>
  <c r="R1886" i="5"/>
  <c r="AB1890" i="5"/>
  <c r="H1892" i="5"/>
  <c r="R1894" i="5"/>
  <c r="R1902" i="5"/>
  <c r="H1908" i="5"/>
  <c r="AB1909" i="5"/>
  <c r="H1912" i="5"/>
  <c r="AB1913" i="5"/>
  <c r="H1916" i="5"/>
  <c r="AB1917" i="5"/>
  <c r="H1920" i="5"/>
  <c r="AB1921" i="5"/>
  <c r="S1929" i="5"/>
  <c r="R1932" i="5"/>
  <c r="J1932" i="5"/>
  <c r="AB1938" i="5"/>
  <c r="S1942" i="5"/>
  <c r="F1948" i="5"/>
  <c r="AB1949" i="5"/>
  <c r="AB1951" i="5"/>
  <c r="AB1969" i="5"/>
  <c r="S1969" i="5"/>
  <c r="F1971" i="5"/>
  <c r="AB1982" i="5"/>
  <c r="R1987" i="5"/>
  <c r="J1987" i="5"/>
  <c r="I1987" i="5"/>
  <c r="H1987" i="5"/>
  <c r="AB2001" i="5"/>
  <c r="S2001" i="5"/>
  <c r="F2003" i="5"/>
  <c r="AB2014" i="5"/>
  <c r="R2019" i="5"/>
  <c r="J2019" i="5"/>
  <c r="I2019" i="5"/>
  <c r="H2019" i="5"/>
  <c r="AB2033" i="5"/>
  <c r="S2033" i="5"/>
  <c r="F2035" i="5"/>
  <c r="AB2046" i="5"/>
  <c r="S2054" i="5"/>
  <c r="S2062" i="5"/>
  <c r="R2072" i="5"/>
  <c r="J2072" i="5"/>
  <c r="I2072" i="5"/>
  <c r="H2072" i="5"/>
  <c r="AB2082" i="5"/>
  <c r="S2082" i="5"/>
  <c r="R2093" i="5"/>
  <c r="J2093" i="5"/>
  <c r="H2093" i="5"/>
  <c r="F2093"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R2152" i="5"/>
  <c r="J2152" i="5"/>
  <c r="I2152" i="5"/>
  <c r="H2152" i="5"/>
  <c r="F2152" i="5"/>
  <c r="AB2182" i="5"/>
  <c r="S2182" i="5"/>
  <c r="J2212" i="5"/>
  <c r="R2212" i="5"/>
  <c r="I2212" i="5"/>
  <c r="H2212" i="5"/>
  <c r="F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R2085" i="5"/>
  <c r="F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R2053" i="5"/>
  <c r="R2061" i="5"/>
  <c r="R2081" i="5"/>
  <c r="AB2086" i="5"/>
  <c r="S2170" i="5"/>
  <c r="AB2170" i="5"/>
  <c r="R2188" i="5"/>
  <c r="J2188" i="5"/>
  <c r="I2188" i="5"/>
  <c r="H2188" i="5"/>
  <c r="F2188" i="5"/>
  <c r="AB2191" i="5"/>
  <c r="S2191" i="5"/>
  <c r="AB2286" i="5"/>
  <c r="S2286" i="5"/>
  <c r="AB2050" i="5"/>
  <c r="S2053" i="5"/>
  <c r="AB2058" i="5"/>
  <c r="S2061" i="5"/>
  <c r="AB2066" i="5"/>
  <c r="S2069" i="5"/>
  <c r="AB2074" i="5"/>
  <c r="S2077" i="5"/>
  <c r="I2087" i="5"/>
  <c r="H2087" i="5"/>
  <c r="AB2147" i="5"/>
  <c r="S2147" i="5"/>
  <c r="F2170" i="5"/>
  <c r="R2170" i="5"/>
  <c r="J2170" i="5"/>
  <c r="I2170" i="5"/>
  <c r="H2170" i="5"/>
  <c r="S2174" i="5"/>
  <c r="AB2174" i="5"/>
  <c r="S2217" i="5"/>
  <c r="AB2217" i="5"/>
  <c r="R2268" i="5"/>
  <c r="J2268" i="5"/>
  <c r="H2268" i="5"/>
  <c r="F2268" i="5"/>
  <c r="I2268" i="5"/>
  <c r="AB2051" i="5"/>
  <c r="AB2059" i="5"/>
  <c r="AB2067" i="5"/>
  <c r="AB2075" i="5"/>
  <c r="R2153" i="5"/>
  <c r="J2153" i="5"/>
  <c r="I2153" i="5"/>
  <c r="H2153" i="5"/>
  <c r="F2153" i="5"/>
  <c r="I2193" i="5"/>
  <c r="R2193" i="5"/>
  <c r="J2193" i="5"/>
  <c r="H2193" i="5"/>
  <c r="F2193" i="5"/>
  <c r="J2117" i="5"/>
  <c r="F2125" i="5"/>
  <c r="S2126" i="5"/>
  <c r="AB2126" i="5"/>
  <c r="R2128" i="5"/>
  <c r="J2128" i="5"/>
  <c r="I2128" i="5"/>
  <c r="H2128" i="5"/>
  <c r="J2130" i="5"/>
  <c r="F2142" i="5"/>
  <c r="F2145" i="5"/>
  <c r="S2146" i="5"/>
  <c r="J2157" i="5"/>
  <c r="J2162" i="5"/>
  <c r="F2174" i="5"/>
  <c r="AB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F2126" i="5"/>
  <c r="R2129" i="5"/>
  <c r="J2129" i="5"/>
  <c r="R2132" i="5"/>
  <c r="J2132" i="5"/>
  <c r="I2132" i="5"/>
  <c r="H2132" i="5"/>
  <c r="S2135" i="5"/>
  <c r="H2141" i="5"/>
  <c r="H2142" i="5"/>
  <c r="F2146" i="5"/>
  <c r="S2150" i="5"/>
  <c r="S2167" i="5"/>
  <c r="H2174" i="5"/>
  <c r="H2178" i="5"/>
  <c r="F2178" i="5"/>
  <c r="S2179" i="5"/>
  <c r="I2209" i="5"/>
  <c r="R2209" i="5"/>
  <c r="J2209" i="5"/>
  <c r="H2209" i="5"/>
  <c r="F2209" i="5"/>
  <c r="R2274" i="5"/>
  <c r="I2274" i="5"/>
  <c r="H2274" i="5"/>
  <c r="F2274" i="5"/>
  <c r="J2274" i="5"/>
  <c r="S2299" i="5"/>
  <c r="AB2299" i="5"/>
  <c r="S2081" i="5"/>
  <c r="S2085" i="5"/>
  <c r="S2089" i="5"/>
  <c r="S2093" i="5"/>
  <c r="S2097" i="5"/>
  <c r="S2101" i="5"/>
  <c r="S2105" i="5"/>
  <c r="S2109" i="5"/>
  <c r="S2113" i="5"/>
  <c r="S2117" i="5"/>
  <c r="S2122" i="5"/>
  <c r="AB2122" i="5"/>
  <c r="H2125" i="5"/>
  <c r="AB2132" i="5"/>
  <c r="S2139" i="5"/>
  <c r="I2142" i="5"/>
  <c r="H2145" i="5"/>
  <c r="H2146" i="5"/>
  <c r="F2150" i="5"/>
  <c r="S2154" i="5"/>
  <c r="AB2159" i="5"/>
  <c r="AB2164" i="5"/>
  <c r="J2165" i="5"/>
  <c r="S2171" i="5"/>
  <c r="I2174" i="5"/>
  <c r="I2178" i="5"/>
  <c r="AB2190" i="5"/>
  <c r="S2190" i="5"/>
  <c r="S2196" i="5"/>
  <c r="I2217" i="5"/>
  <c r="R2217" i="5"/>
  <c r="J2217" i="5"/>
  <c r="H2217" i="5"/>
  <c r="F2217" i="5"/>
  <c r="AB2227" i="5"/>
  <c r="S2227" i="5"/>
  <c r="R2228" i="5"/>
  <c r="J2228" i="5"/>
  <c r="I2228" i="5"/>
  <c r="H2228" i="5"/>
  <c r="F2228" i="5"/>
  <c r="R2248" i="5"/>
  <c r="J2248" i="5"/>
  <c r="I2248" i="5"/>
  <c r="H2248" i="5"/>
  <c r="F2248" i="5"/>
  <c r="R2267" i="5"/>
  <c r="R2311" i="5"/>
  <c r="J2311" i="5"/>
  <c r="I2311" i="5"/>
  <c r="H2311" i="5"/>
  <c r="F2311" i="5"/>
  <c r="J2358" i="5"/>
  <c r="H2358" i="5"/>
  <c r="R2358" i="5"/>
  <c r="I2358" i="5"/>
  <c r="F2358" i="5"/>
  <c r="H2118" i="5"/>
  <c r="AB2119" i="5"/>
  <c r="S2119" i="5"/>
  <c r="S2120" i="5"/>
  <c r="F2122" i="5"/>
  <c r="AB2123" i="5"/>
  <c r="AB2124" i="5"/>
  <c r="H2126" i="5"/>
  <c r="AB2131" i="5"/>
  <c r="AB2136" i="5"/>
  <c r="R2137" i="5"/>
  <c r="J2137" i="5"/>
  <c r="J2142" i="5"/>
  <c r="I2146" i="5"/>
  <c r="S2158" i="5"/>
  <c r="AB2163" i="5"/>
  <c r="AB2168" i="5"/>
  <c r="R2169" i="5"/>
  <c r="J2169" i="5"/>
  <c r="J2174" i="5"/>
  <c r="J2178" i="5"/>
  <c r="AB2183" i="5"/>
  <c r="H2190" i="5"/>
  <c r="F2190" i="5"/>
  <c r="S2193" i="5"/>
  <c r="AB2193" i="5"/>
  <c r="S2204" i="5"/>
  <c r="AB2220" i="5"/>
  <c r="AB2242" i="5"/>
  <c r="AB2281" i="5"/>
  <c r="S2312" i="5"/>
  <c r="AB2312" i="5"/>
  <c r="S2130" i="5"/>
  <c r="AB2135" i="5"/>
  <c r="AB2140" i="5"/>
  <c r="R2141" i="5"/>
  <c r="J2141" i="5"/>
  <c r="F2158" i="5"/>
  <c r="S2162" i="5"/>
  <c r="AB2167" i="5"/>
  <c r="AB2172" i="5"/>
  <c r="R2173" i="5"/>
  <c r="AB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S2255" i="5"/>
  <c r="AB2259" i="5"/>
  <c r="S2259" i="5"/>
  <c r="AB2266" i="5"/>
  <c r="AB2270" i="5"/>
  <c r="AB2304" i="5"/>
  <c r="AB2120" i="5"/>
  <c r="R2125" i="5"/>
  <c r="J2125" i="5"/>
  <c r="F2130" i="5"/>
  <c r="S2134" i="5"/>
  <c r="AB2139" i="5"/>
  <c r="AB2144" i="5"/>
  <c r="R2145" i="5"/>
  <c r="J2145" i="5"/>
  <c r="F2162" i="5"/>
  <c r="S2166" i="5"/>
  <c r="AB2171" i="5"/>
  <c r="AB2176" i="5"/>
  <c r="AB2179" i="5"/>
  <c r="H2186" i="5"/>
  <c r="F2186" i="5"/>
  <c r="H2203" i="5"/>
  <c r="R2203" i="5"/>
  <c r="J2203" i="5"/>
  <c r="I2203" i="5"/>
  <c r="J2204" i="5"/>
  <c r="R2204" i="5"/>
  <c r="I2204" i="5"/>
  <c r="H2204" i="5"/>
  <c r="F2204" i="5"/>
  <c r="S2209" i="5"/>
  <c r="AB2209" i="5"/>
  <c r="I2223" i="5"/>
  <c r="H2223" i="5"/>
  <c r="J2223" i="5"/>
  <c r="F2223" i="5"/>
  <c r="AB2234" i="5"/>
  <c r="J2239" i="5"/>
  <c r="I2239" i="5"/>
  <c r="H2239" i="5"/>
  <c r="R2240" i="5"/>
  <c r="J2240" i="5"/>
  <c r="I2240" i="5"/>
  <c r="F2240" i="5"/>
  <c r="AB2276" i="5"/>
  <c r="S2276" i="5"/>
  <c r="R2285" i="5"/>
  <c r="J2285" i="5"/>
  <c r="I2285" i="5"/>
  <c r="H2285" i="5"/>
  <c r="F2285" i="5"/>
  <c r="J2177" i="5"/>
  <c r="J2185" i="5"/>
  <c r="J2189" i="5"/>
  <c r="AB2199" i="5"/>
  <c r="AB2207" i="5"/>
  <c r="H2207" i="5"/>
  <c r="AB2215" i="5"/>
  <c r="AB2223" i="5"/>
  <c r="AB2228" i="5"/>
  <c r="AB2251" i="5"/>
  <c r="F2256" i="5"/>
  <c r="AB2262" i="5"/>
  <c r="AB2303" i="5"/>
  <c r="S2303" i="5"/>
  <c r="J2354" i="5"/>
  <c r="R2354" i="5"/>
  <c r="I2354" i="5"/>
  <c r="H2354" i="5"/>
  <c r="F2354" i="5"/>
  <c r="R2177" i="5"/>
  <c r="R2185" i="5"/>
  <c r="R2189" i="5"/>
  <c r="S2192" i="5"/>
  <c r="S2200" i="5"/>
  <c r="S2208" i="5"/>
  <c r="S2216" i="5"/>
  <c r="S2229" i="5"/>
  <c r="R2236" i="5"/>
  <c r="J2236" i="5"/>
  <c r="I2236" i="5"/>
  <c r="AB2247" i="5"/>
  <c r="F2252"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R2349" i="5"/>
  <c r="J2349" i="5"/>
  <c r="I2349" i="5"/>
  <c r="H2349" i="5"/>
  <c r="F2349" i="5"/>
  <c r="F2194" i="5"/>
  <c r="R2194" i="5"/>
  <c r="F2199" i="5"/>
  <c r="F2202" i="5"/>
  <c r="R2202" i="5"/>
  <c r="F2207" i="5"/>
  <c r="F2210" i="5"/>
  <c r="R2210" i="5"/>
  <c r="F2218" i="5"/>
  <c r="R2218" i="5"/>
  <c r="AB2224" i="5"/>
  <c r="I2225" i="5"/>
  <c r="AB2231" i="5"/>
  <c r="AB2243" i="5"/>
  <c r="AB2254" i="5"/>
  <c r="R2260" i="5"/>
  <c r="J2260" i="5"/>
  <c r="I2260" i="5"/>
  <c r="AB2269" i="5"/>
  <c r="AB2285" i="5"/>
  <c r="R2295" i="5"/>
  <c r="J2295" i="5"/>
  <c r="I2295" i="5"/>
  <c r="H2295" i="5"/>
  <c r="F2299" i="5"/>
  <c r="R2299" i="5"/>
  <c r="J2299" i="5"/>
  <c r="I2299" i="5"/>
  <c r="R2307" i="5"/>
  <c r="S2225" i="5"/>
  <c r="AB2239" i="5"/>
  <c r="AB2250" i="5"/>
  <c r="R2256" i="5"/>
  <c r="J2256" i="5"/>
  <c r="I2256" i="5"/>
  <c r="R2286" i="5"/>
  <c r="H2286" i="5"/>
  <c r="F2286" i="5"/>
  <c r="J2317" i="5"/>
  <c r="AB2344" i="5"/>
  <c r="S2344" i="5"/>
  <c r="F2368" i="5"/>
  <c r="R2368" i="5"/>
  <c r="J2368" i="5"/>
  <c r="I2368" i="5"/>
  <c r="H2368" i="5"/>
  <c r="AB2384" i="5"/>
  <c r="S2384" i="5"/>
  <c r="AB2195" i="5"/>
  <c r="AB2203" i="5"/>
  <c r="AB2211" i="5"/>
  <c r="AB2219" i="5"/>
  <c r="AB2230" i="5"/>
  <c r="S2233" i="5"/>
  <c r="AB2235" i="5"/>
  <c r="AB2246" i="5"/>
  <c r="R2252" i="5"/>
  <c r="J2252" i="5"/>
  <c r="I2252" i="5"/>
  <c r="J2255" i="5"/>
  <c r="I2255" i="5"/>
  <c r="H2255" i="5"/>
  <c r="AB2267" i="5"/>
  <c r="I2280" i="5"/>
  <c r="F2280" i="5"/>
  <c r="R2280" i="5"/>
  <c r="J2280" i="5"/>
  <c r="AB2311" i="5"/>
  <c r="S2311" i="5"/>
  <c r="R2341" i="5"/>
  <c r="J2341" i="5"/>
  <c r="I2341" i="5"/>
  <c r="F2341" i="5"/>
  <c r="H2341" i="5"/>
  <c r="J2348" i="5"/>
  <c r="I2348" i="5"/>
  <c r="H2348" i="5"/>
  <c r="R2348" i="5"/>
  <c r="F2348" i="5"/>
  <c r="AB2263" i="5"/>
  <c r="R2277" i="5"/>
  <c r="J2277" i="5"/>
  <c r="H2277" i="5"/>
  <c r="I2288" i="5"/>
  <c r="R2288" i="5"/>
  <c r="J2288" i="5"/>
  <c r="H2288" i="5"/>
  <c r="S2304" i="5"/>
  <c r="I2320" i="5"/>
  <c r="H2320" i="5"/>
  <c r="F2320" i="5"/>
  <c r="R2320" i="5"/>
  <c r="J2320" i="5"/>
  <c r="I2229" i="5"/>
  <c r="I2233" i="5"/>
  <c r="I2237" i="5"/>
  <c r="J2273" i="5"/>
  <c r="AB2278" i="5"/>
  <c r="H2282" i="5"/>
  <c r="F2303" i="5"/>
  <c r="R2305" i="5"/>
  <c r="I2305" i="5"/>
  <c r="AB2315" i="5"/>
  <c r="AB2320" i="5"/>
  <c r="S2320" i="5"/>
  <c r="AB2328" i="5"/>
  <c r="AB2332" i="5"/>
  <c r="J2340" i="5"/>
  <c r="I2340" i="5"/>
  <c r="H2340" i="5"/>
  <c r="I2308" i="5"/>
  <c r="F2308" i="5"/>
  <c r="R2313" i="5"/>
  <c r="I2313" i="5"/>
  <c r="AB2323" i="5"/>
  <c r="AB2366" i="5"/>
  <c r="S2366" i="5"/>
  <c r="S2271" i="5"/>
  <c r="S2273" i="5"/>
  <c r="S2284" i="5"/>
  <c r="R2306" i="5"/>
  <c r="I2306" i="5"/>
  <c r="S2319" i="5"/>
  <c r="AB2348" i="5"/>
  <c r="F2360" i="5"/>
  <c r="R2360" i="5"/>
  <c r="J2360" i="5"/>
  <c r="I2360" i="5"/>
  <c r="H2360" i="5"/>
  <c r="J2374" i="5"/>
  <c r="H2374" i="5"/>
  <c r="R2374" i="5"/>
  <c r="I2374" i="5"/>
  <c r="F2374" i="5"/>
  <c r="AB2411" i="5"/>
  <c r="S2411" i="5"/>
  <c r="AB2424" i="5"/>
  <c r="S2237" i="5"/>
  <c r="S2241" i="5"/>
  <c r="S2245" i="5"/>
  <c r="S2249" i="5"/>
  <c r="S2253" i="5"/>
  <c r="S2257" i="5"/>
  <c r="S2261" i="5"/>
  <c r="S2265" i="5"/>
  <c r="R2282" i="5"/>
  <c r="S2287" i="5"/>
  <c r="R2297" i="5"/>
  <c r="I2297" i="5"/>
  <c r="F2306" i="5"/>
  <c r="R2309" i="5"/>
  <c r="I2309" i="5"/>
  <c r="H2309" i="5"/>
  <c r="F2313" i="5"/>
  <c r="R2314" i="5"/>
  <c r="I2314" i="5"/>
  <c r="AB2331" i="5"/>
  <c r="R2337" i="5"/>
  <c r="J2337" i="5"/>
  <c r="I2337" i="5"/>
  <c r="S2388" i="5"/>
  <c r="S2268" i="5"/>
  <c r="S2275" i="5"/>
  <c r="S2282" i="5"/>
  <c r="R2302" i="5"/>
  <c r="H2302" i="5"/>
  <c r="H2313" i="5"/>
  <c r="F2314" i="5"/>
  <c r="AB2340" i="5"/>
  <c r="S2340" i="5"/>
  <c r="AB2343" i="5"/>
  <c r="AB2383" i="5"/>
  <c r="S2383" i="5"/>
  <c r="AB2271" i="5"/>
  <c r="F2273" i="5"/>
  <c r="AB2284" i="5"/>
  <c r="R2294" i="5"/>
  <c r="R2303" i="5"/>
  <c r="H2306" i="5"/>
  <c r="H2308" i="5"/>
  <c r="H2310" i="5"/>
  <c r="J2313"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R2437" i="5"/>
  <c r="AB2327" i="5"/>
  <c r="AB2335" i="5"/>
  <c r="R2345" i="5"/>
  <c r="J2345" i="5"/>
  <c r="I2345" i="5"/>
  <c r="AB2352" i="5"/>
  <c r="AB2358" i="5"/>
  <c r="S2358" i="5"/>
  <c r="J2366" i="5"/>
  <c r="H2366" i="5"/>
  <c r="R2366" i="5"/>
  <c r="I2366" i="5"/>
  <c r="AB2374" i="5"/>
  <c r="S2374" i="5"/>
  <c r="AB2394" i="5"/>
  <c r="S2394" i="5"/>
  <c r="R2400" i="5"/>
  <c r="J2400" i="5"/>
  <c r="I2400" i="5"/>
  <c r="H2400" i="5"/>
  <c r="F2400" i="5"/>
  <c r="AB2428" i="5"/>
  <c r="S2367" i="5"/>
  <c r="AB2367" i="5"/>
  <c r="S2372" i="5"/>
  <c r="AB2372" i="5"/>
  <c r="AB2356" i="5"/>
  <c r="J2379" i="5"/>
  <c r="R2379" i="5"/>
  <c r="I2379" i="5"/>
  <c r="H2379" i="5"/>
  <c r="F2379" i="5"/>
  <c r="AB2399" i="5"/>
  <c r="S2399" i="5"/>
  <c r="AB2361" i="5"/>
  <c r="AB2369" i="5"/>
  <c r="AB2377" i="5"/>
  <c r="J2388" i="5"/>
  <c r="I2388" i="5"/>
  <c r="AB2390" i="5"/>
  <c r="S2390" i="5"/>
  <c r="F2394" i="5"/>
  <c r="R2394" i="5"/>
  <c r="J2394" i="5"/>
  <c r="I2394" i="5"/>
  <c r="H2394" i="5"/>
  <c r="AB2416" i="5"/>
  <c r="AB2404" i="5"/>
  <c r="R2420" i="5"/>
  <c r="J2420" i="5"/>
  <c r="I2420" i="5"/>
  <c r="H2420" i="5"/>
  <c r="F2420" i="5"/>
  <c r="R2445" i="5"/>
  <c r="J2445" i="5"/>
  <c r="I2445" i="5"/>
  <c r="H2445" i="5"/>
  <c r="F2445" i="5"/>
  <c r="J2460" i="5"/>
  <c r="I2460" i="5"/>
  <c r="R2460" i="5"/>
  <c r="H2460" i="5"/>
  <c r="F2460" i="5"/>
  <c r="AB2490" i="5"/>
  <c r="S2490" i="5"/>
  <c r="S2500" i="5"/>
  <c r="R2326" i="5"/>
  <c r="R2338" i="5"/>
  <c r="R2342" i="5"/>
  <c r="R2346" i="5"/>
  <c r="R2350" i="5"/>
  <c r="AB2362" i="5"/>
  <c r="AB2370" i="5"/>
  <c r="AB2378" i="5"/>
  <c r="I2395" i="5"/>
  <c r="H2395" i="5"/>
  <c r="J2395" i="5"/>
  <c r="F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R2401" i="5"/>
  <c r="J2401" i="5"/>
  <c r="I2401" i="5"/>
  <c r="H2401" i="5"/>
  <c r="F2401" i="5"/>
  <c r="R2408" i="5"/>
  <c r="J2408" i="5"/>
  <c r="I2408" i="5"/>
  <c r="H2408" i="5"/>
  <c r="F2408" i="5"/>
  <c r="F2412" i="5"/>
  <c r="R2413" i="5"/>
  <c r="J2413" i="5"/>
  <c r="I2413" i="5"/>
  <c r="F2413" i="5"/>
  <c r="AB2423" i="5"/>
  <c r="S2423" i="5"/>
  <c r="J2449" i="5"/>
  <c r="I2449" i="5"/>
  <c r="H2449" i="5"/>
  <c r="F2449" i="5"/>
  <c r="R2449" i="5"/>
  <c r="J2356" i="5"/>
  <c r="H2365" i="5"/>
  <c r="F2365" i="5"/>
  <c r="H2373" i="5"/>
  <c r="F2373" i="5"/>
  <c r="S2386" i="5"/>
  <c r="S2387" i="5"/>
  <c r="R2389" i="5"/>
  <c r="I2389" i="5"/>
  <c r="H2389" i="5"/>
  <c r="F2389" i="5"/>
  <c r="AB2392" i="5"/>
  <c r="S2398" i="5"/>
  <c r="R2421" i="5"/>
  <c r="J2421" i="5"/>
  <c r="I2421" i="5"/>
  <c r="H2421" i="5"/>
  <c r="F2421" i="5"/>
  <c r="AB2455" i="5"/>
  <c r="S2455" i="5"/>
  <c r="H2475" i="5"/>
  <c r="R2475" i="5"/>
  <c r="J2475" i="5"/>
  <c r="F2475" i="5"/>
  <c r="S2479" i="5"/>
  <c r="AB2479" i="5"/>
  <c r="S2402" i="5"/>
  <c r="AB2407" i="5"/>
  <c r="AB2408" i="5"/>
  <c r="AB2415" i="5"/>
  <c r="R2425" i="5"/>
  <c r="J2425" i="5"/>
  <c r="I2425" i="5"/>
  <c r="AB2444" i="5"/>
  <c r="S2444" i="5"/>
  <c r="AB2468" i="5"/>
  <c r="S2468" i="5"/>
  <c r="R2473" i="5"/>
  <c r="I2473" i="5"/>
  <c r="H2473" i="5"/>
  <c r="F2473" i="5"/>
  <c r="S2406" i="5"/>
  <c r="AB2420" i="5"/>
  <c r="AB2427" i="5"/>
  <c r="S2453" i="5"/>
  <c r="AB2453" i="5"/>
  <c r="J2456" i="5"/>
  <c r="I2456" i="5"/>
  <c r="R2456" i="5"/>
  <c r="H2456" i="5"/>
  <c r="J2476" i="5"/>
  <c r="I2476" i="5"/>
  <c r="R2476" i="5"/>
  <c r="H2476" i="5"/>
  <c r="F2476" i="5"/>
  <c r="AB2487" i="5"/>
  <c r="S2487" i="5"/>
  <c r="S2496" i="5"/>
  <c r="F2382" i="5"/>
  <c r="F2390" i="5"/>
  <c r="AB2432" i="5"/>
  <c r="F2456" i="5"/>
  <c r="H2482" i="5"/>
  <c r="I2482" i="5"/>
  <c r="F2482" i="5"/>
  <c r="R2482" i="5"/>
  <c r="J2482" i="5"/>
  <c r="AB2391" i="5"/>
  <c r="AB2412" i="5"/>
  <c r="AB2419" i="5"/>
  <c r="R2429" i="5"/>
  <c r="J2429" i="5"/>
  <c r="I2429" i="5"/>
  <c r="S2437" i="5"/>
  <c r="AB2437" i="5"/>
  <c r="H2447" i="5"/>
  <c r="R2447" i="5"/>
  <c r="J2447" i="5"/>
  <c r="F2447" i="5"/>
  <c r="AB2485" i="5"/>
  <c r="S2485" i="5"/>
  <c r="AB2431" i="5"/>
  <c r="J2436" i="5"/>
  <c r="R2436" i="5"/>
  <c r="I2436" i="5"/>
  <c r="H2436" i="5"/>
  <c r="S2441" i="5"/>
  <c r="AB2441" i="5"/>
  <c r="J2502" i="5"/>
  <c r="I2502" i="5"/>
  <c r="H2502" i="5"/>
  <c r="R2502" i="5"/>
  <c r="F2502" i="5"/>
  <c r="J2464" i="5"/>
  <c r="I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F22" i="6"/>
  <c r="B22" i="6"/>
  <c r="B37" i="6" s="1"/>
  <c r="G37" i="6" s="1"/>
  <c r="F27" i="6"/>
  <c r="F47" i="6" s="1"/>
  <c r="F2442" i="5"/>
  <c r="J2442" i="5"/>
  <c r="I2442" i="5"/>
  <c r="H2442" i="5"/>
  <c r="AB2460" i="5"/>
  <c r="F2497" i="5"/>
  <c r="R2497" i="5"/>
  <c r="J2497" i="5"/>
  <c r="I2497" i="5"/>
  <c r="H2497" i="5"/>
  <c r="S2501" i="5"/>
  <c r="F64" i="6"/>
  <c r="G5" i="6"/>
  <c r="H5" i="6" s="1"/>
  <c r="H2464" i="5"/>
  <c r="J2472" i="5"/>
  <c r="I2472" i="5"/>
  <c r="S2476" i="5"/>
  <c r="AB2486" i="5"/>
  <c r="S2486" i="5"/>
  <c r="S2489" i="5"/>
  <c r="F2501" i="5"/>
  <c r="R2501" i="5"/>
  <c r="J2501" i="5"/>
  <c r="I2501" i="5"/>
  <c r="H2501" i="5"/>
  <c r="AB2433" i="5"/>
  <c r="H2438" i="5"/>
  <c r="I2453" i="5"/>
  <c r="H2453" i="5"/>
  <c r="F2453" i="5"/>
  <c r="F2462" i="5"/>
  <c r="R2462" i="5"/>
  <c r="J2462" i="5"/>
  <c r="I2462" i="5"/>
  <c r="H2462" i="5"/>
  <c r="R2464" i="5"/>
  <c r="R2465" i="5"/>
  <c r="I2465" i="5"/>
  <c r="H2465" i="5"/>
  <c r="F2465" i="5"/>
  <c r="F2472" i="5"/>
  <c r="J2483" i="5"/>
  <c r="I2483" i="5"/>
  <c r="R2483" i="5"/>
  <c r="H2483" i="5"/>
  <c r="F2483" i="5"/>
  <c r="F2489" i="5"/>
  <c r="I2489" i="5"/>
  <c r="H2489" i="5"/>
  <c r="R2489" i="5"/>
  <c r="J2489" i="5"/>
  <c r="J2494" i="5"/>
  <c r="I2494" i="5"/>
  <c r="H2494" i="5"/>
  <c r="G17" i="6"/>
  <c r="H17" i="6"/>
  <c r="AB2443" i="5"/>
  <c r="S2443" i="5"/>
  <c r="S2450" i="5"/>
  <c r="S2452" i="5"/>
  <c r="J2461" i="5"/>
  <c r="J2469" i="5"/>
  <c r="S2495" i="5"/>
  <c r="S2499" i="5"/>
  <c r="S2503" i="5"/>
  <c r="G15" i="6"/>
  <c r="H15" i="6" s="1"/>
  <c r="B20" i="6"/>
  <c r="F25" i="6" s="1"/>
  <c r="AB2447" i="5"/>
  <c r="S2447" i="5"/>
  <c r="F2458" i="5"/>
  <c r="AB2458" i="5"/>
  <c r="F2466" i="5"/>
  <c r="AB2466" i="5"/>
  <c r="F2474" i="5"/>
  <c r="AB2474" i="5"/>
  <c r="S2494" i="5"/>
  <c r="F2495" i="5"/>
  <c r="R2495" i="5"/>
  <c r="J2495" i="5"/>
  <c r="S2498" i="5"/>
  <c r="F2499" i="5"/>
  <c r="R2499" i="5"/>
  <c r="J2499" i="5"/>
  <c r="S2502" i="5"/>
  <c r="F2503" i="5"/>
  <c r="R2503" i="5"/>
  <c r="J2503" i="5"/>
  <c r="AB2459" i="5"/>
  <c r="AB2467" i="5"/>
  <c r="AB2475" i="5"/>
  <c r="R2488" i="5"/>
  <c r="J2488" i="5"/>
  <c r="I2488" i="5"/>
  <c r="AB2491" i="5"/>
  <c r="F2481" i="5"/>
  <c r="R2492" i="5"/>
  <c r="J2492" i="5"/>
  <c r="S2504" i="5"/>
  <c r="S2477" i="5"/>
  <c r="AB2482" i="5"/>
  <c r="B21" i="6"/>
  <c r="B51" i="6" s="1"/>
  <c r="G51" i="6" s="1"/>
  <c r="G16" i="6"/>
  <c r="H16" i="6" s="1"/>
  <c r="B19" i="6"/>
  <c r="F24" i="6" s="1"/>
  <c r="A38" i="2"/>
  <c r="J4" i="5"/>
  <c r="B41" i="4"/>
  <c r="A55" i="2"/>
  <c r="A73" i="2"/>
  <c r="B9" i="3"/>
  <c r="A3" i="2"/>
  <c r="A20" i="2"/>
  <c r="B17" i="3"/>
  <c r="B29" i="4"/>
  <c r="A17" i="6" s="1"/>
  <c r="B25" i="3"/>
  <c r="C20" i="3"/>
  <c r="A75" i="2"/>
  <c r="C25" i="3"/>
  <c r="N4" i="5"/>
  <c r="A43" i="2"/>
  <c r="C3" i="3"/>
  <c r="C19" i="3"/>
  <c r="P4" i="5"/>
  <c r="A45" i="2"/>
  <c r="C4" i="3"/>
  <c r="B26" i="4"/>
  <c r="B32" i="4" s="1"/>
  <c r="A19"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61" i="4" s="1"/>
  <c r="A17" i="2"/>
  <c r="A34" i="2"/>
  <c r="A52" i="2"/>
  <c r="A70" i="2"/>
  <c r="C7" i="3"/>
  <c r="C15" i="3"/>
  <c r="C23" i="3"/>
  <c r="C31" i="3"/>
  <c r="B15" i="4"/>
  <c r="A7" i="6" s="1"/>
  <c r="B28" i="4"/>
  <c r="B34" i="4" s="1"/>
  <c r="A21" i="6" s="1"/>
  <c r="B40" i="4"/>
  <c r="B64" i="4" s="1"/>
  <c r="A4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B27" i="4"/>
  <c r="B33" i="4" s="1"/>
  <c r="A20"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C6" i="6" s="1"/>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61" i="4" s="1"/>
  <c r="A4" i="5"/>
  <c r="I4" i="5"/>
  <c r="I14" i="6"/>
  <c r="I15" i="6"/>
  <c r="I16" i="6"/>
  <c r="I17" i="6"/>
  <c r="J24" i="6"/>
  <c r="I25" i="6"/>
  <c r="J36" i="6"/>
  <c r="I37" i="6"/>
  <c r="J44" i="6"/>
  <c r="I45" i="6"/>
  <c r="J52" i="6"/>
  <c r="J62" i="6"/>
  <c r="I63" i="6"/>
  <c r="I64" i="6"/>
  <c r="J65" i="6"/>
  <c r="I66" i="6"/>
  <c r="B60" i="1"/>
  <c r="F4" i="8"/>
  <c r="H4" i="8"/>
  <c r="I4" i="8"/>
  <c r="C4" i="8"/>
  <c r="S491" i="5"/>
  <c r="S511" i="5"/>
  <c r="S344" i="5"/>
  <c r="S397" i="5"/>
  <c r="S401" i="5"/>
  <c r="S409" i="5"/>
  <c r="S372" i="5"/>
  <c r="S437" i="5"/>
  <c r="S428" i="5"/>
  <c r="S452" i="5"/>
  <c r="S548" i="5"/>
  <c r="S377" i="5"/>
  <c r="S349" i="5"/>
  <c r="S539" i="5"/>
  <c r="S361" i="5"/>
  <c r="S417" i="5"/>
  <c r="S432" i="5"/>
  <c r="S560" i="5"/>
  <c r="S510" i="5"/>
  <c r="S341" i="5"/>
  <c r="S388" i="5"/>
  <c r="S429" i="5"/>
  <c r="S449" i="5"/>
  <c r="S457" i="5"/>
  <c r="S436" i="5"/>
  <c r="S416" i="5"/>
  <c r="S441" i="5"/>
  <c r="S572" i="5"/>
  <c r="S440" i="5"/>
  <c r="S568" i="5"/>
  <c r="S468" i="5"/>
  <c r="S543" i="5"/>
  <c r="S408" i="5"/>
  <c r="S352" i="5"/>
  <c r="S389" i="5"/>
  <c r="S404" i="5"/>
  <c r="S421" i="5"/>
  <c r="S464" i="5"/>
  <c r="S552" i="5"/>
  <c r="S586" i="5"/>
  <c r="S479" i="5"/>
  <c r="S364" i="5"/>
  <c r="S392" i="5"/>
  <c r="S348" i="5"/>
  <c r="S433" i="5"/>
  <c r="S444" i="5"/>
  <c r="S584" i="5"/>
  <c r="S396" i="5"/>
  <c r="S400" i="5"/>
  <c r="S405" i="5"/>
  <c r="S413" i="5"/>
  <c r="S453" i="5"/>
  <c r="S420" i="5"/>
  <c r="S448" i="5"/>
  <c r="S385" i="5"/>
  <c r="S393" i="5"/>
  <c r="S380" i="5"/>
  <c r="S425" i="5"/>
  <c r="S445" i="5"/>
  <c r="S424" i="5"/>
  <c r="S470" i="5"/>
  <c r="S461" i="5"/>
  <c r="S494" i="5"/>
  <c r="R2165" i="5"/>
  <c r="I1967" i="5"/>
  <c r="J2069" i="5"/>
  <c r="I2069" i="5"/>
  <c r="J1967" i="5"/>
  <c r="I987" i="5"/>
  <c r="H650" i="5"/>
  <c r="R2044" i="5"/>
  <c r="R1967" i="5"/>
  <c r="H987" i="5"/>
  <c r="H1959" i="5"/>
  <c r="R987" i="5"/>
  <c r="R2069" i="5"/>
  <c r="I1959" i="5"/>
  <c r="H2069" i="5"/>
  <c r="J1959" i="5"/>
  <c r="R1959" i="5"/>
  <c r="I678" i="5"/>
  <c r="H678" i="5"/>
  <c r="J987" i="5"/>
  <c r="S606" i="5"/>
  <c r="S610" i="5"/>
  <c r="S598" i="5"/>
  <c r="S532" i="5"/>
  <c r="S356" i="5"/>
  <c r="S343" i="5"/>
  <c r="S357" i="5"/>
  <c r="S383" i="5"/>
  <c r="J1919" i="5"/>
  <c r="R983" i="5"/>
  <c r="R872" i="5"/>
  <c r="I851" i="5"/>
  <c r="F1735" i="5"/>
  <c r="I1859" i="5"/>
  <c r="F1577" i="5"/>
  <c r="H1339" i="5"/>
  <c r="I1224" i="5"/>
  <c r="J775" i="5"/>
  <c r="F678" i="5"/>
  <c r="I1735" i="5"/>
  <c r="J2284" i="5"/>
  <c r="J1339" i="5"/>
  <c r="F967" i="5"/>
  <c r="J678" i="5"/>
  <c r="F2189" i="5"/>
  <c r="J1735" i="5"/>
  <c r="R1339" i="5"/>
  <c r="I967" i="5"/>
  <c r="I829" i="5"/>
  <c r="H752" i="5"/>
  <c r="H578" i="5"/>
  <c r="I1665" i="5"/>
  <c r="H1577" i="5"/>
  <c r="R967" i="5"/>
  <c r="R829" i="5"/>
  <c r="J752" i="5"/>
  <c r="I578" i="5"/>
  <c r="J1492" i="5"/>
  <c r="F2409" i="5"/>
  <c r="R1669" i="5"/>
  <c r="J1577" i="5"/>
  <c r="I1339" i="5"/>
  <c r="J578" i="5"/>
  <c r="F1385" i="5"/>
  <c r="F982" i="5"/>
  <c r="J672" i="5"/>
  <c r="J1051" i="5"/>
  <c r="H2173" i="5"/>
  <c r="J1684" i="5"/>
  <c r="I1385" i="5"/>
  <c r="I1051" i="5"/>
  <c r="I1320" i="5"/>
  <c r="I1133" i="5"/>
  <c r="H982" i="5"/>
  <c r="I650" i="5"/>
  <c r="R1039" i="5"/>
  <c r="I1015" i="5"/>
  <c r="J1320" i="5"/>
  <c r="J1133" i="5"/>
  <c r="I982" i="5"/>
  <c r="J2173" i="5"/>
  <c r="R1320" i="5"/>
  <c r="J982" i="5"/>
  <c r="H2116" i="5"/>
  <c r="R1754" i="5"/>
  <c r="J1593" i="5"/>
  <c r="H1593" i="5"/>
  <c r="H1385" i="5"/>
  <c r="I672" i="5"/>
  <c r="F2301" i="5"/>
  <c r="R1593" i="5"/>
  <c r="J1385" i="5"/>
  <c r="R2301" i="5"/>
  <c r="R1051" i="5"/>
  <c r="R1015" i="5"/>
  <c r="I1039" i="5"/>
  <c r="F1320" i="5"/>
  <c r="R852" i="5"/>
  <c r="F1947" i="5"/>
  <c r="H1947" i="5"/>
  <c r="I1381" i="5"/>
  <c r="J463" i="5"/>
  <c r="I1947" i="5"/>
  <c r="R1665" i="5"/>
  <c r="H463" i="5"/>
  <c r="J1947" i="5"/>
  <c r="J1438" i="5"/>
  <c r="F1158" i="5"/>
  <c r="R1947" i="5"/>
  <c r="J1665" i="5"/>
  <c r="J1426" i="5"/>
  <c r="R262" i="5"/>
  <c r="I2363" i="5"/>
  <c r="I872" i="5"/>
  <c r="I463" i="5"/>
  <c r="R574" i="5"/>
  <c r="I2480" i="5"/>
  <c r="R1325" i="5"/>
  <c r="H1158" i="5"/>
  <c r="F872" i="5"/>
  <c r="R746" i="5"/>
  <c r="F767" i="5"/>
  <c r="H746" i="5"/>
  <c r="H2325" i="5"/>
  <c r="R1329" i="5"/>
  <c r="H562" i="5"/>
  <c r="F463" i="5"/>
  <c r="R1204" i="5"/>
  <c r="H574" i="5"/>
  <c r="I562" i="5"/>
  <c r="F1665" i="5"/>
  <c r="J1204" i="5"/>
  <c r="I574" i="5"/>
  <c r="J562" i="5"/>
  <c r="J872" i="5"/>
  <c r="F562" i="5"/>
  <c r="H1665" i="5"/>
  <c r="J574" i="5"/>
  <c r="R2363" i="5"/>
  <c r="R2317" i="5"/>
  <c r="R2157" i="5"/>
  <c r="H1786" i="5"/>
  <c r="R799" i="5"/>
  <c r="H576" i="5"/>
  <c r="R2397" i="5"/>
  <c r="J2363" i="5"/>
  <c r="F696" i="5"/>
  <c r="I644" i="5"/>
  <c r="H403" i="5"/>
  <c r="H2397" i="5"/>
  <c r="J403" i="5"/>
  <c r="J1233" i="5"/>
  <c r="F717" i="5"/>
  <c r="R775" i="5"/>
  <c r="R403" i="5"/>
  <c r="H2317" i="5"/>
  <c r="F799" i="5"/>
  <c r="F775" i="5"/>
  <c r="F2363" i="5"/>
  <c r="H799" i="5"/>
  <c r="H775" i="5"/>
  <c r="J391" i="5"/>
  <c r="H2363" i="5"/>
  <c r="I2317" i="5"/>
  <c r="F1786" i="5"/>
  <c r="F942" i="5"/>
  <c r="I799" i="5"/>
  <c r="I775" i="5"/>
  <c r="J2016" i="5"/>
  <c r="J1724" i="5"/>
  <c r="H1434" i="5"/>
  <c r="I1308" i="5"/>
  <c r="F1272" i="5"/>
  <c r="J602" i="5"/>
  <c r="J2077" i="5"/>
  <c r="I2077" i="5"/>
  <c r="J1673" i="5"/>
  <c r="R1403" i="5"/>
  <c r="R1308" i="5"/>
  <c r="H602" i="5"/>
  <c r="I1770" i="5"/>
  <c r="R1633" i="5"/>
  <c r="I1272" i="5"/>
  <c r="R891" i="5"/>
  <c r="R2077" i="5"/>
  <c r="J1770" i="5"/>
  <c r="R1673" i="5"/>
  <c r="J1434" i="5"/>
  <c r="J1272" i="5"/>
  <c r="R2257" i="5"/>
  <c r="F1526" i="5"/>
  <c r="R1123" i="5"/>
  <c r="R1272" i="5"/>
  <c r="I602" i="5"/>
  <c r="F1673" i="5"/>
  <c r="J2318" i="5"/>
  <c r="H1464" i="5"/>
  <c r="I1526" i="5"/>
  <c r="H1673" i="5"/>
  <c r="R2318" i="5"/>
  <c r="H2043" i="5"/>
  <c r="J1633" i="5"/>
  <c r="F1051" i="5"/>
  <c r="F672" i="5"/>
  <c r="R115" i="5"/>
  <c r="R1724" i="5"/>
  <c r="F1680" i="5"/>
  <c r="H1672" i="5"/>
  <c r="J1224" i="5"/>
  <c r="J696" i="5"/>
  <c r="I1325" i="5"/>
  <c r="F1681" i="5"/>
  <c r="H1700" i="5"/>
  <c r="F1313" i="5"/>
  <c r="F2293" i="5"/>
  <c r="I1700" i="5"/>
  <c r="F1609" i="5"/>
  <c r="H1680" i="5"/>
  <c r="I1681" i="5"/>
  <c r="I1313" i="5"/>
  <c r="H1681" i="5"/>
  <c r="H2293" i="5"/>
  <c r="F1936" i="5"/>
  <c r="J1700" i="5"/>
  <c r="J1609" i="5"/>
  <c r="R1712" i="5"/>
  <c r="I1680" i="5"/>
  <c r="R1313" i="5"/>
  <c r="H1313" i="5"/>
  <c r="R762" i="5"/>
  <c r="I2293" i="5"/>
  <c r="R1697" i="5"/>
  <c r="J1693" i="5"/>
  <c r="R1609" i="5"/>
  <c r="J1680" i="5"/>
  <c r="F1224" i="5"/>
  <c r="H648" i="5"/>
  <c r="R419" i="5"/>
  <c r="R2293" i="5"/>
  <c r="R1693" i="5"/>
  <c r="H1724" i="5"/>
  <c r="R1680" i="5"/>
  <c r="H1224" i="5"/>
  <c r="I696" i="5"/>
  <c r="H696" i="5"/>
  <c r="J419" i="5"/>
  <c r="H2289" i="5"/>
  <c r="I1724" i="5"/>
  <c r="H1325" i="5"/>
  <c r="R1224" i="5"/>
  <c r="I648" i="5"/>
  <c r="H419" i="5"/>
  <c r="J2480" i="5"/>
  <c r="J2232" i="5"/>
  <c r="J1641" i="5"/>
  <c r="I1508" i="5"/>
  <c r="H1222" i="5"/>
  <c r="I1110" i="5"/>
  <c r="I1140" i="5"/>
  <c r="I1233" i="5"/>
  <c r="H2480" i="5"/>
  <c r="H1859" i="5"/>
  <c r="I1754" i="5"/>
  <c r="R1641" i="5"/>
  <c r="J1110" i="5"/>
  <c r="I632" i="5"/>
  <c r="R1233" i="5"/>
  <c r="R2480" i="5"/>
  <c r="R2310" i="5"/>
  <c r="J1859" i="5"/>
  <c r="R1644" i="5"/>
  <c r="R1253" i="5"/>
  <c r="H1253" i="5"/>
  <c r="H1233" i="5"/>
  <c r="I596" i="5"/>
  <c r="R447" i="5"/>
  <c r="F2092" i="5"/>
  <c r="R1859" i="5"/>
  <c r="H415" i="5"/>
  <c r="H395" i="5"/>
  <c r="F1859" i="5"/>
  <c r="R1086" i="5"/>
  <c r="I836" i="5"/>
  <c r="H596" i="5"/>
  <c r="R415" i="5"/>
  <c r="J447" i="5"/>
  <c r="J395" i="5"/>
  <c r="F2480" i="5"/>
  <c r="J2164" i="5"/>
  <c r="R1653" i="5"/>
  <c r="J1653" i="5"/>
  <c r="F1508" i="5"/>
  <c r="F1222" i="5"/>
  <c r="H1297" i="5"/>
  <c r="F836" i="5"/>
  <c r="R836" i="5"/>
  <c r="R395" i="5"/>
  <c r="I496" i="5"/>
  <c r="F1233" i="5"/>
  <c r="J1725" i="5"/>
  <c r="H1716" i="5"/>
  <c r="F1403" i="5"/>
  <c r="I1095" i="5"/>
  <c r="R808" i="5"/>
  <c r="J2133" i="5"/>
  <c r="J2161" i="5"/>
  <c r="I1716" i="5"/>
  <c r="H1426" i="5"/>
  <c r="H1329" i="5"/>
  <c r="I608" i="5"/>
  <c r="F808" i="5"/>
  <c r="R2133" i="5"/>
  <c r="R2161" i="5"/>
  <c r="F1919" i="5"/>
  <c r="J1716" i="5"/>
  <c r="R1067" i="5"/>
  <c r="J1145" i="5"/>
  <c r="H883" i="5"/>
  <c r="H447" i="5"/>
  <c r="I808" i="5"/>
  <c r="H1900" i="5"/>
  <c r="I1919" i="5"/>
  <c r="R1716" i="5"/>
  <c r="H1684" i="5"/>
  <c r="R1285" i="5"/>
  <c r="F1308" i="5"/>
  <c r="F883" i="5"/>
  <c r="I1403" i="5"/>
  <c r="H1919" i="5"/>
  <c r="I1684" i="5"/>
  <c r="I1123" i="5"/>
  <c r="I1067" i="5"/>
  <c r="I883" i="5"/>
  <c r="R883" i="5"/>
  <c r="F1900" i="5"/>
  <c r="R1919" i="5"/>
  <c r="R1725" i="5"/>
  <c r="R1684" i="5"/>
  <c r="J1308" i="5"/>
  <c r="J2181" i="5"/>
  <c r="H2164" i="5"/>
  <c r="R2184" i="5"/>
  <c r="J1668" i="5"/>
  <c r="R1660" i="5"/>
  <c r="H1652" i="5"/>
  <c r="I1644" i="5"/>
  <c r="H942" i="5"/>
  <c r="I720" i="5"/>
  <c r="R2181" i="5"/>
  <c r="I2164" i="5"/>
  <c r="R1668" i="5"/>
  <c r="F1708" i="5"/>
  <c r="I1652" i="5"/>
  <c r="J1644" i="5"/>
  <c r="H391" i="5"/>
  <c r="J720" i="5"/>
  <c r="J2454" i="5"/>
  <c r="F2215" i="5"/>
  <c r="R2164" i="5"/>
  <c r="I2043" i="5"/>
  <c r="R1657" i="5"/>
  <c r="R1652" i="5"/>
  <c r="H1708" i="5"/>
  <c r="I942" i="5"/>
  <c r="H767" i="5"/>
  <c r="J680" i="5"/>
  <c r="H720" i="5"/>
  <c r="I680" i="5"/>
  <c r="R391" i="5"/>
  <c r="F2012" i="5"/>
  <c r="R2454" i="5"/>
  <c r="H2215" i="5"/>
  <c r="J2043" i="5"/>
  <c r="H2092" i="5"/>
  <c r="H1688"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I2116" i="5"/>
  <c r="R1774" i="5"/>
  <c r="R1140" i="5"/>
  <c r="H869" i="5"/>
  <c r="R754" i="5"/>
  <c r="J439" i="5"/>
  <c r="J411" i="5"/>
  <c r="J2116" i="5"/>
  <c r="I1855" i="5"/>
  <c r="H1774" i="5"/>
  <c r="H1811" i="5"/>
  <c r="R979" i="5"/>
  <c r="F852" i="5"/>
  <c r="F817" i="5"/>
  <c r="I580" i="5"/>
  <c r="R2116" i="5"/>
  <c r="H1855" i="5"/>
  <c r="I1811" i="5"/>
  <c r="F1774" i="5"/>
  <c r="J869" i="5"/>
  <c r="R580" i="5"/>
  <c r="F1842" i="5"/>
  <c r="J1855" i="5"/>
  <c r="J1811" i="5"/>
  <c r="H1140" i="5"/>
  <c r="R1292" i="5"/>
  <c r="I888" i="5"/>
  <c r="F738" i="5"/>
  <c r="H580" i="5"/>
  <c r="H1086" i="5"/>
  <c r="R869" i="5"/>
  <c r="J592" i="5"/>
  <c r="I2417" i="5"/>
  <c r="H1842" i="5"/>
  <c r="R1855" i="5"/>
  <c r="H1317" i="5"/>
  <c r="I979" i="5"/>
  <c r="F888" i="5"/>
  <c r="R730" i="5"/>
  <c r="F524" i="5"/>
  <c r="F1140" i="5"/>
  <c r="J580" i="5"/>
  <c r="I1842" i="5"/>
  <c r="R1811" i="5"/>
  <c r="F1471" i="5"/>
  <c r="R1317" i="5"/>
  <c r="I1086" i="5"/>
  <c r="I869" i="5"/>
  <c r="H730" i="5"/>
  <c r="H592" i="5"/>
  <c r="R411" i="5"/>
  <c r="H439" i="5"/>
  <c r="H411" i="5"/>
  <c r="I730" i="5"/>
  <c r="R87" i="5"/>
  <c r="J1842" i="5"/>
  <c r="H1696" i="5"/>
  <c r="J1086" i="5"/>
  <c r="I524" i="5"/>
  <c r="R439" i="5"/>
  <c r="B30" i="6"/>
  <c r="G30" i="6" s="1"/>
  <c r="J2417" i="5"/>
  <c r="J2160" i="5"/>
  <c r="F1876" i="5"/>
  <c r="R1770" i="5"/>
  <c r="R1700" i="5"/>
  <c r="I1696" i="5"/>
  <c r="I1672" i="5"/>
  <c r="F1126" i="5"/>
  <c r="F875" i="5"/>
  <c r="R888" i="5"/>
  <c r="F783" i="5"/>
  <c r="R757" i="5"/>
  <c r="I588" i="5"/>
  <c r="R431" i="5"/>
  <c r="J435" i="5"/>
  <c r="H2012" i="5"/>
  <c r="F640" i="5"/>
  <c r="F2197" i="5"/>
  <c r="R2417" i="5"/>
  <c r="H2409" i="5"/>
  <c r="H2011" i="5"/>
  <c r="J1876" i="5"/>
  <c r="J1669" i="5"/>
  <c r="J1696" i="5"/>
  <c r="F1700" i="5"/>
  <c r="F1712" i="5"/>
  <c r="J1672" i="5"/>
  <c r="R1003" i="5"/>
  <c r="I974" i="5"/>
  <c r="H1138" i="5"/>
  <c r="H875" i="5"/>
  <c r="H783" i="5"/>
  <c r="I757" i="5"/>
  <c r="I640" i="5"/>
  <c r="H644" i="5"/>
  <c r="H435" i="5"/>
  <c r="J2397" i="5"/>
  <c r="I2012" i="5"/>
  <c r="J640" i="5"/>
  <c r="I2197" i="5"/>
  <c r="I2409" i="5"/>
  <c r="F2325" i="5"/>
  <c r="I2011" i="5"/>
  <c r="J1936" i="5"/>
  <c r="F1770" i="5"/>
  <c r="R1696" i="5"/>
  <c r="H1664" i="5"/>
  <c r="I1494" i="5"/>
  <c r="R1672" i="5"/>
  <c r="F1352" i="5"/>
  <c r="F1292" i="5"/>
  <c r="J974" i="5"/>
  <c r="J875" i="5"/>
  <c r="I783" i="5"/>
  <c r="I749" i="5"/>
  <c r="J757" i="5"/>
  <c r="I556" i="5"/>
  <c r="J431" i="5"/>
  <c r="J2409" i="5"/>
  <c r="H2301" i="5"/>
  <c r="H2100" i="5"/>
  <c r="J2011" i="5"/>
  <c r="R1936" i="5"/>
  <c r="H1801" i="5"/>
  <c r="H1867" i="5"/>
  <c r="I1664" i="5"/>
  <c r="H1712" i="5"/>
  <c r="F1494" i="5"/>
  <c r="J1494" i="5"/>
  <c r="I1003" i="5"/>
  <c r="H1352" i="5"/>
  <c r="R974" i="5"/>
  <c r="I1074" i="5"/>
  <c r="I875" i="5"/>
  <c r="J783" i="5"/>
  <c r="J749" i="5"/>
  <c r="R334" i="5"/>
  <c r="I1801" i="5"/>
  <c r="J1664" i="5"/>
  <c r="I1712" i="5"/>
  <c r="J1352" i="5"/>
  <c r="I1292" i="5"/>
  <c r="R875" i="5"/>
  <c r="R738" i="5"/>
  <c r="I717" i="5"/>
  <c r="R718" i="5"/>
  <c r="F757" i="5"/>
  <c r="R207" i="5"/>
  <c r="F1190" i="5"/>
  <c r="I983" i="5"/>
  <c r="J1292" i="5"/>
  <c r="F749" i="5"/>
  <c r="J717" i="5"/>
  <c r="H640" i="5"/>
  <c r="H588" i="5"/>
  <c r="R435" i="5"/>
  <c r="H431" i="5"/>
  <c r="F2061" i="5"/>
  <c r="H556" i="5"/>
  <c r="H2197" i="5"/>
  <c r="F2405" i="5"/>
  <c r="F2386" i="5"/>
  <c r="R2289" i="5"/>
  <c r="R2160" i="5"/>
  <c r="I2100" i="5"/>
  <c r="R2035" i="5"/>
  <c r="I1867" i="5"/>
  <c r="I1145" i="5"/>
  <c r="J1074" i="5"/>
  <c r="R794" i="5"/>
  <c r="I634" i="5"/>
  <c r="H670" i="5"/>
  <c r="F1940" i="5"/>
  <c r="F2289" i="5"/>
  <c r="F2154" i="5"/>
  <c r="J2100" i="5"/>
  <c r="J1940" i="5"/>
  <c r="J1867" i="5"/>
  <c r="I1761" i="5"/>
  <c r="F1193" i="5"/>
  <c r="R1115" i="5"/>
  <c r="I1035" i="5"/>
  <c r="F1304" i="5"/>
  <c r="R1074" i="5"/>
  <c r="F814" i="5"/>
  <c r="J814" i="5"/>
  <c r="J1527" i="5"/>
  <c r="I1527" i="5"/>
  <c r="H1527" i="5"/>
  <c r="F592" i="5"/>
  <c r="R592" i="5"/>
  <c r="I2386" i="5"/>
  <c r="H2405" i="5"/>
  <c r="H2180" i="5"/>
  <c r="R2100" i="5"/>
  <c r="R1940" i="5"/>
  <c r="R1867" i="5"/>
  <c r="J1193" i="5"/>
  <c r="F1145" i="5"/>
  <c r="F867" i="5"/>
  <c r="H1940" i="5"/>
  <c r="J2405" i="5"/>
  <c r="I2180" i="5"/>
  <c r="I1786" i="5"/>
  <c r="J1471" i="5"/>
  <c r="I1131" i="5"/>
  <c r="I1115" i="5"/>
  <c r="I1304" i="5"/>
  <c r="R1145" i="5"/>
  <c r="H634" i="5"/>
  <c r="R423" i="5"/>
  <c r="I2289" i="5"/>
  <c r="J1435" i="5"/>
  <c r="I1435" i="5"/>
  <c r="H1435" i="5"/>
  <c r="R2405" i="5"/>
  <c r="H2386" i="5"/>
  <c r="J2180" i="5"/>
  <c r="J1952" i="5"/>
  <c r="J1786" i="5"/>
  <c r="J1304" i="5"/>
  <c r="J423" i="5"/>
  <c r="R303" i="5"/>
  <c r="H379" i="5"/>
  <c r="F2381" i="5"/>
  <c r="J2386" i="5"/>
  <c r="R2180" i="5"/>
  <c r="H2160" i="5"/>
  <c r="F2100" i="5"/>
  <c r="R1952" i="5"/>
  <c r="H2035" i="5"/>
  <c r="F1867" i="5"/>
  <c r="R1786" i="5"/>
  <c r="R1131" i="5"/>
  <c r="R1304" i="5"/>
  <c r="I971" i="5"/>
  <c r="F1074" i="5"/>
  <c r="F971" i="5"/>
  <c r="I817" i="5"/>
  <c r="J379" i="5"/>
  <c r="R2386" i="5"/>
  <c r="I2160" i="5"/>
  <c r="I2035" i="5"/>
  <c r="I1471" i="5"/>
  <c r="R1471" i="5"/>
  <c r="R971" i="5"/>
  <c r="H1145" i="5"/>
  <c r="H971" i="5"/>
  <c r="J817" i="5"/>
  <c r="R817" i="5"/>
  <c r="R1055" i="5"/>
  <c r="I891" i="5"/>
  <c r="H867" i="5"/>
  <c r="R712" i="5"/>
  <c r="R427" i="5"/>
  <c r="R608" i="5"/>
  <c r="J712" i="5"/>
  <c r="J2465" i="5"/>
  <c r="F1696" i="5"/>
  <c r="I2205" i="5"/>
  <c r="R2205" i="5"/>
  <c r="J2205" i="5"/>
  <c r="H2205" i="5"/>
  <c r="F2205" i="5"/>
  <c r="R640" i="5"/>
  <c r="J1067" i="5"/>
  <c r="H1067" i="5"/>
  <c r="R672" i="5"/>
  <c r="R175" i="5"/>
  <c r="H808" i="5"/>
  <c r="J808" i="5"/>
  <c r="F644" i="5"/>
  <c r="I2265" i="5"/>
  <c r="R2265" i="5"/>
  <c r="J2265" i="5"/>
  <c r="F608" i="5"/>
  <c r="J1138" i="5"/>
  <c r="I867" i="5"/>
  <c r="R915" i="5"/>
  <c r="R710" i="5"/>
  <c r="H664" i="5"/>
  <c r="H608" i="5"/>
  <c r="H407" i="5"/>
  <c r="I2215" i="5"/>
  <c r="J2215" i="5"/>
  <c r="J1198" i="5"/>
  <c r="R1198" i="5"/>
  <c r="I1198" i="5"/>
  <c r="H1198" i="5"/>
  <c r="F987" i="5"/>
  <c r="H851" i="5"/>
  <c r="F851" i="5"/>
  <c r="R1107" i="5"/>
  <c r="F931" i="5"/>
  <c r="I931" i="5"/>
  <c r="I1138" i="5"/>
  <c r="R867" i="5"/>
  <c r="I712" i="5"/>
  <c r="H710" i="5"/>
  <c r="J407" i="5"/>
  <c r="H1526" i="5"/>
  <c r="R1526" i="5"/>
  <c r="F580" i="5"/>
  <c r="H836" i="5"/>
  <c r="J836" i="5"/>
  <c r="R1158" i="5"/>
  <c r="J1158" i="5"/>
  <c r="I1158" i="5"/>
  <c r="R931" i="5"/>
  <c r="R1138" i="5"/>
  <c r="I679" i="5"/>
  <c r="J427" i="5"/>
  <c r="F2265" i="5"/>
  <c r="I2199" i="5"/>
  <c r="R2199" i="5"/>
  <c r="J2199" i="5"/>
  <c r="H1051" i="5"/>
  <c r="R578" i="5"/>
  <c r="F578" i="5"/>
  <c r="R306" i="5"/>
  <c r="R243" i="5"/>
  <c r="J1761" i="5"/>
  <c r="I1510" i="5"/>
  <c r="F1138" i="5"/>
  <c r="F891" i="5"/>
  <c r="H2265" i="5"/>
  <c r="F974" i="5"/>
  <c r="I2397" i="5"/>
  <c r="F2397" i="5"/>
  <c r="I2253" i="5"/>
  <c r="R2253" i="5"/>
  <c r="J2253" i="5"/>
  <c r="H2253" i="5"/>
  <c r="I2257" i="5"/>
  <c r="J2257" i="5"/>
  <c r="J1403" i="5"/>
  <c r="H1403" i="5"/>
  <c r="R330" i="5"/>
  <c r="J1510" i="5"/>
  <c r="H891" i="5"/>
  <c r="H915" i="5"/>
  <c r="J608" i="5"/>
  <c r="I2189" i="5"/>
  <c r="H2189" i="5"/>
  <c r="I1851" i="5"/>
  <c r="F1851" i="5"/>
  <c r="I1633" i="5"/>
  <c r="F1633" i="5"/>
  <c r="I391" i="5"/>
  <c r="F391" i="5"/>
  <c r="F915" i="5"/>
  <c r="H712" i="5"/>
  <c r="H427" i="5"/>
  <c r="I2213" i="5"/>
  <c r="R2213" i="5"/>
  <c r="J2213" i="5"/>
  <c r="H2213" i="5"/>
  <c r="F2213" i="5"/>
  <c r="J2381" i="5"/>
  <c r="I2381" i="5"/>
  <c r="J1309" i="5"/>
  <c r="I1309" i="5"/>
  <c r="J1325" i="5"/>
  <c r="F1325" i="5"/>
  <c r="I2334" i="5"/>
  <c r="J2334" i="5"/>
  <c r="H2334" i="5"/>
  <c r="F2334" i="5"/>
  <c r="I2161" i="5"/>
  <c r="H2161" i="5"/>
  <c r="F2161" i="5"/>
  <c r="R1876" i="5"/>
  <c r="I1876" i="5"/>
  <c r="H1936" i="5"/>
  <c r="I1936" i="5"/>
  <c r="F1697" i="5"/>
  <c r="I1697" i="5"/>
  <c r="H1697" i="5"/>
  <c r="I1713" i="5"/>
  <c r="H1713" i="5"/>
  <c r="F1713" i="5"/>
  <c r="F1664" i="5"/>
  <c r="J1508" i="5"/>
  <c r="R1508" i="5"/>
  <c r="I1645" i="5"/>
  <c r="H1645" i="5"/>
  <c r="F1645" i="5"/>
  <c r="J1297" i="5"/>
  <c r="I1297" i="5"/>
  <c r="F1297" i="5"/>
  <c r="J1071" i="5"/>
  <c r="H1071" i="5"/>
  <c r="F1071" i="5"/>
  <c r="F1035" i="5"/>
  <c r="H1035" i="5"/>
  <c r="J1035" i="5"/>
  <c r="H794" i="5"/>
  <c r="I794" i="5"/>
  <c r="J794" i="5"/>
  <c r="F794" i="5"/>
  <c r="J1007" i="5"/>
  <c r="H1007" i="5"/>
  <c r="F1007" i="5"/>
  <c r="R632" i="5"/>
  <c r="F632" i="5"/>
  <c r="J632" i="5"/>
  <c r="J829" i="5"/>
  <c r="H829" i="5"/>
  <c r="R814" i="5"/>
  <c r="I814" i="5"/>
  <c r="I443" i="5"/>
  <c r="F443" i="5"/>
  <c r="R163" i="5"/>
  <c r="I2330" i="5"/>
  <c r="J2330" i="5"/>
  <c r="H2330" i="5"/>
  <c r="F2330" i="5"/>
  <c r="R2225" i="5"/>
  <c r="J2225" i="5"/>
  <c r="H2225" i="5"/>
  <c r="F2225" i="5"/>
  <c r="I2181" i="5"/>
  <c r="H2181" i="5"/>
  <c r="F2181" i="5"/>
  <c r="I2165" i="5"/>
  <c r="H2165" i="5"/>
  <c r="F2165" i="5"/>
  <c r="I2044" i="5"/>
  <c r="H2044" i="5"/>
  <c r="F2044" i="5"/>
  <c r="F2069" i="5"/>
  <c r="R1494" i="5"/>
  <c r="H1494" i="5"/>
  <c r="F1632" i="5"/>
  <c r="J1317" i="5"/>
  <c r="I1317" i="5"/>
  <c r="F1317" i="5"/>
  <c r="I1426" i="5"/>
  <c r="R1426" i="5"/>
  <c r="F1426" i="5"/>
  <c r="R1193" i="5"/>
  <c r="H1193" i="5"/>
  <c r="I1193" i="5"/>
  <c r="H1123" i="5"/>
  <c r="F1123" i="5"/>
  <c r="J1123" i="5"/>
  <c r="J943" i="5"/>
  <c r="H943" i="5"/>
  <c r="F943" i="5"/>
  <c r="J888" i="5"/>
  <c r="H888" i="5"/>
  <c r="H979" i="5"/>
  <c r="F979" i="5"/>
  <c r="J979" i="5"/>
  <c r="H774" i="5"/>
  <c r="F774" i="5"/>
  <c r="I774" i="5"/>
  <c r="J774" i="5"/>
  <c r="I710" i="5"/>
  <c r="F710" i="5"/>
  <c r="J576" i="5"/>
  <c r="F576" i="5"/>
  <c r="R576" i="5"/>
  <c r="I423" i="5"/>
  <c r="F423" i="5"/>
  <c r="F379" i="5"/>
  <c r="I379" i="5"/>
  <c r="R297" i="5"/>
  <c r="H2417" i="5"/>
  <c r="F2417" i="5"/>
  <c r="I2173" i="5"/>
  <c r="F2173" i="5"/>
  <c r="I2284" i="5"/>
  <c r="R2284" i="5"/>
  <c r="H2284" i="5"/>
  <c r="F2284" i="5"/>
  <c r="F2180" i="5"/>
  <c r="R2237" i="5"/>
  <c r="J2237" i="5"/>
  <c r="H2237" i="5"/>
  <c r="F2237" i="5"/>
  <c r="H2133" i="5"/>
  <c r="F2133" i="5"/>
  <c r="I2133" i="5"/>
  <c r="I1952" i="5"/>
  <c r="H1952" i="5"/>
  <c r="F1952" i="5"/>
  <c r="F1761" i="5"/>
  <c r="H1761" i="5"/>
  <c r="J1253" i="5"/>
  <c r="I1253" i="5"/>
  <c r="F1253" i="5"/>
  <c r="I738" i="5"/>
  <c r="J738" i="5"/>
  <c r="J746" i="5"/>
  <c r="I746" i="5"/>
  <c r="J1003" i="5"/>
  <c r="H1003" i="5"/>
  <c r="F1003" i="5"/>
  <c r="R596" i="5"/>
  <c r="J596" i="5"/>
  <c r="F596" i="5"/>
  <c r="I365" i="5"/>
  <c r="H365" i="5"/>
  <c r="F365" i="5"/>
  <c r="R365" i="5"/>
  <c r="J365" i="5"/>
  <c r="R279" i="5"/>
  <c r="R717" i="5"/>
  <c r="H717" i="5"/>
  <c r="I2016" i="5"/>
  <c r="H2016" i="5"/>
  <c r="F2016" i="5"/>
  <c r="F1657" i="5"/>
  <c r="I1657" i="5"/>
  <c r="H1657" i="5"/>
  <c r="F1204" i="5"/>
  <c r="H1204" i="5"/>
  <c r="I1190" i="5"/>
  <c r="R1190" i="5"/>
  <c r="J11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R277" i="5"/>
  <c r="R600" i="5"/>
  <c r="J600" i="5"/>
  <c r="F600" i="5"/>
  <c r="R151" i="5"/>
  <c r="I2157" i="5"/>
  <c r="H2157" i="5"/>
  <c r="J2301" i="5"/>
  <c r="R2233" i="5"/>
  <c r="J2233" i="5"/>
  <c r="H2233" i="5"/>
  <c r="F2233" i="5"/>
  <c r="F1641" i="5"/>
  <c r="I1641" i="5"/>
  <c r="H1641" i="5"/>
  <c r="J1754" i="5"/>
  <c r="H1754" i="5"/>
  <c r="R1510" i="5"/>
  <c r="H1510" i="5"/>
  <c r="F1510" i="5"/>
  <c r="J1079" i="5"/>
  <c r="H1079" i="5"/>
  <c r="F1079" i="5"/>
  <c r="J1107" i="5"/>
  <c r="H1107" i="5"/>
  <c r="F1107" i="5"/>
  <c r="I662" i="5"/>
  <c r="F662" i="5"/>
  <c r="R662" i="5"/>
  <c r="J662" i="5"/>
  <c r="J634" i="5"/>
  <c r="R634" i="5"/>
  <c r="F634" i="5"/>
  <c r="R664" i="5"/>
  <c r="I664" i="5"/>
  <c r="F664" i="5"/>
  <c r="I407" i="5"/>
  <c r="F407" i="5"/>
  <c r="I435" i="5"/>
  <c r="F435" i="5"/>
  <c r="I2232" i="5"/>
  <c r="H2232" i="5"/>
  <c r="F2232" i="5"/>
  <c r="F2454" i="5"/>
  <c r="H2454" i="5"/>
  <c r="I2454" i="5"/>
  <c r="F2318" i="5"/>
  <c r="I2318" i="5"/>
  <c r="H2318" i="5"/>
  <c r="F2077"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H2357" i="5"/>
  <c r="F2357" i="5"/>
  <c r="R2357" i="5"/>
  <c r="J2357" i="5"/>
  <c r="I2357" i="5"/>
  <c r="F2164" i="5"/>
  <c r="I1725" i="5"/>
  <c r="H1725" i="5"/>
  <c r="F1725" i="5"/>
  <c r="I1430" i="5"/>
  <c r="H1430" i="5"/>
  <c r="F1430" i="5"/>
  <c r="R1430" i="5"/>
  <c r="I1693" i="5"/>
  <c r="H1693" i="5"/>
  <c r="F1693" i="5"/>
  <c r="J1329" i="5"/>
  <c r="I1329" i="5"/>
  <c r="F1329" i="5"/>
  <c r="F1095" i="5"/>
  <c r="J1095" i="5"/>
  <c r="H1095" i="5"/>
  <c r="H1110" i="5"/>
  <c r="H1039" i="5"/>
  <c r="F1039" i="5"/>
  <c r="J1039" i="5"/>
  <c r="H762" i="5"/>
  <c r="F762" i="5"/>
  <c r="J762" i="5"/>
  <c r="I762" i="5"/>
  <c r="H679" i="5"/>
  <c r="J679" i="5"/>
  <c r="F679" i="5"/>
  <c r="R679" i="5"/>
  <c r="H817" i="5"/>
  <c r="J524" i="5"/>
  <c r="R524" i="5"/>
  <c r="H524" i="5"/>
  <c r="I403" i="5"/>
  <c r="F403" i="5"/>
  <c r="I419" i="5"/>
  <c r="F419" i="5"/>
  <c r="I395" i="5"/>
  <c r="F395" i="5"/>
  <c r="I411" i="5"/>
  <c r="F411" i="5"/>
  <c r="I2326" i="5"/>
  <c r="F2326" i="5"/>
  <c r="H2326" i="5"/>
  <c r="J2326" i="5"/>
  <c r="J2310" i="5"/>
  <c r="I2310" i="5"/>
  <c r="R2154" i="5"/>
  <c r="J2154" i="5"/>
  <c r="I2154" i="5"/>
  <c r="H2154" i="5"/>
  <c r="R1900" i="5"/>
  <c r="I1900" i="5"/>
  <c r="I1669" i="5"/>
  <c r="H1669" i="5"/>
  <c r="F1669" i="5"/>
  <c r="I1701" i="5"/>
  <c r="H1701" i="5"/>
  <c r="F1701" i="5"/>
  <c r="J1285" i="5"/>
  <c r="I1285" i="5"/>
  <c r="F1285" i="5"/>
  <c r="I1434" i="5"/>
  <c r="R1434" i="5"/>
  <c r="F1434" i="5"/>
  <c r="R1381" i="5"/>
  <c r="J1381" i="5"/>
  <c r="H1381" i="5"/>
  <c r="F1381" i="5"/>
  <c r="F1133" i="5"/>
  <c r="H1133" i="5"/>
  <c r="R1181" i="5"/>
  <c r="J1181" i="5"/>
  <c r="F1181" i="5"/>
  <c r="H1181" i="5"/>
  <c r="I1181" i="5"/>
  <c r="J1131" i="5"/>
  <c r="H1131" i="5"/>
  <c r="F1131" i="5"/>
  <c r="I718" i="5"/>
  <c r="J718" i="5"/>
  <c r="F718" i="5"/>
  <c r="J983" i="5"/>
  <c r="H983" i="5"/>
  <c r="F983" i="5"/>
  <c r="H766" i="5"/>
  <c r="J766" i="5"/>
  <c r="I766" i="5"/>
  <c r="F766" i="5"/>
  <c r="H496" i="5"/>
  <c r="F496" i="5"/>
  <c r="R496" i="5"/>
  <c r="J496" i="5"/>
  <c r="I431" i="5"/>
  <c r="F431" i="5"/>
  <c r="I427" i="5"/>
  <c r="F427" i="5"/>
  <c r="B52" i="6"/>
  <c r="G52" i="6" s="1"/>
  <c r="B50" i="6"/>
  <c r="G50" i="6"/>
  <c r="B25" i="6"/>
  <c r="G25" i="6" s="1"/>
  <c r="B35" i="6"/>
  <c r="G35" i="6"/>
  <c r="F2426" i="5"/>
  <c r="R2426" i="5"/>
  <c r="J2426" i="5"/>
  <c r="I2426" i="5"/>
  <c r="H2426" i="5"/>
  <c r="D5" i="6"/>
  <c r="F2446" i="5"/>
  <c r="H2446" i="5"/>
  <c r="J2446" i="5"/>
  <c r="I2446" i="5"/>
  <c r="R2446" i="5"/>
  <c r="J2504" i="5"/>
  <c r="I2504" i="5"/>
  <c r="H2504" i="5"/>
  <c r="R2504" i="5"/>
  <c r="F2504" i="5"/>
  <c r="F2434" i="5"/>
  <c r="R2434" i="5"/>
  <c r="J2434" i="5"/>
  <c r="I2434" i="5"/>
  <c r="H2434" i="5"/>
  <c r="H2459" i="5"/>
  <c r="R2459" i="5"/>
  <c r="J2459" i="5"/>
  <c r="I2459" i="5"/>
  <c r="F2459" i="5"/>
  <c r="I2399" i="5"/>
  <c r="H2399" i="5"/>
  <c r="F2399" i="5"/>
  <c r="R2399" i="5"/>
  <c r="J2399" i="5"/>
  <c r="J2392" i="5"/>
  <c r="I2392" i="5"/>
  <c r="R2392" i="5"/>
  <c r="H2392" i="5"/>
  <c r="F2392" i="5"/>
  <c r="H2369" i="5"/>
  <c r="F2369" i="5"/>
  <c r="J2369" i="5"/>
  <c r="I2369" i="5"/>
  <c r="R2369" i="5"/>
  <c r="H2383" i="5"/>
  <c r="J2383" i="5"/>
  <c r="R2383" i="5"/>
  <c r="I2383" i="5"/>
  <c r="F2383" i="5"/>
  <c r="F2319" i="5"/>
  <c r="I2319" i="5"/>
  <c r="J2319" i="5"/>
  <c r="H2319" i="5"/>
  <c r="R2319" i="5"/>
  <c r="R2279" i="5"/>
  <c r="F2279" i="5"/>
  <c r="J2279" i="5"/>
  <c r="I2279" i="5"/>
  <c r="H2279" i="5"/>
  <c r="R2272" i="5"/>
  <c r="J2272" i="5"/>
  <c r="I2272" i="5"/>
  <c r="H2272" i="5"/>
  <c r="F2272" i="5"/>
  <c r="J2200" i="5"/>
  <c r="R2200" i="5"/>
  <c r="I2200" i="5"/>
  <c r="H2200" i="5"/>
  <c r="F2200" i="5"/>
  <c r="H2254" i="5"/>
  <c r="F2254" i="5"/>
  <c r="R2254" i="5"/>
  <c r="J2254" i="5"/>
  <c r="I2254" i="5"/>
  <c r="H2258" i="5"/>
  <c r="F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R2198" i="5"/>
  <c r="J2198" i="5"/>
  <c r="I2198" i="5"/>
  <c r="H2198" i="5"/>
  <c r="J2179" i="5"/>
  <c r="I2179" i="5"/>
  <c r="H2179" i="5"/>
  <c r="F2179" i="5"/>
  <c r="R2179" i="5"/>
  <c r="F2066" i="5"/>
  <c r="R2066" i="5"/>
  <c r="J2066" i="5"/>
  <c r="I2066" i="5"/>
  <c r="H2066" i="5"/>
  <c r="R2176" i="5"/>
  <c r="J2176" i="5"/>
  <c r="I2176" i="5"/>
  <c r="H2176" i="5"/>
  <c r="F2176" i="5"/>
  <c r="I2063" i="5"/>
  <c r="H2063" i="5"/>
  <c r="F2063" i="5"/>
  <c r="R2063" i="5"/>
  <c r="J2063" i="5"/>
  <c r="J2115" i="5"/>
  <c r="I2115" i="5"/>
  <c r="H2115" i="5"/>
  <c r="F2115" i="5"/>
  <c r="R2115" i="5"/>
  <c r="I2171" i="5"/>
  <c r="H2171" i="5"/>
  <c r="F2171" i="5"/>
  <c r="R2171" i="5"/>
  <c r="J2171" i="5"/>
  <c r="I1926" i="5"/>
  <c r="H1926" i="5"/>
  <c r="F1926" i="5"/>
  <c r="R1926" i="5"/>
  <c r="J1926" i="5"/>
  <c r="R2038" i="5"/>
  <c r="J2038" i="5"/>
  <c r="I2038" i="5"/>
  <c r="H2038" i="5"/>
  <c r="F2038" i="5"/>
  <c r="R1974" i="5"/>
  <c r="J1974" i="5"/>
  <c r="I1974" i="5"/>
  <c r="H1974" i="5"/>
  <c r="F1974" i="5"/>
  <c r="F1852" i="5"/>
  <c r="J1852" i="5"/>
  <c r="R1852" i="5"/>
  <c r="I1852" i="5"/>
  <c r="H1852" i="5"/>
  <c r="R2018" i="5"/>
  <c r="J2018" i="5"/>
  <c r="I2018" i="5"/>
  <c r="H2018" i="5"/>
  <c r="F2018" i="5"/>
  <c r="R1998" i="5"/>
  <c r="J1998" i="5"/>
  <c r="I1998" i="5"/>
  <c r="H1998" i="5"/>
  <c r="F1998" i="5"/>
  <c r="I1845" i="5"/>
  <c r="H1845" i="5"/>
  <c r="F1845" i="5"/>
  <c r="R1845" i="5"/>
  <c r="J1845" i="5"/>
  <c r="R1978" i="5"/>
  <c r="J1978" i="5"/>
  <c r="I1978" i="5"/>
  <c r="H1978" i="5"/>
  <c r="F1978" i="5"/>
  <c r="R2046" i="5"/>
  <c r="J2046" i="5"/>
  <c r="I2046" i="5"/>
  <c r="H2046" i="5"/>
  <c r="F2046" i="5"/>
  <c r="H1783" i="5"/>
  <c r="F1783" i="5"/>
  <c r="R1783" i="5"/>
  <c r="J1783" i="5"/>
  <c r="I1783" i="5"/>
  <c r="R1826" i="5"/>
  <c r="I1826" i="5"/>
  <c r="H1826" i="5"/>
  <c r="F1826" i="5"/>
  <c r="J1826" i="5"/>
  <c r="I1833" i="5"/>
  <c r="R1833" i="5"/>
  <c r="J1833" i="5"/>
  <c r="H1833" i="5"/>
  <c r="F1833" i="5"/>
  <c r="I1914" i="5"/>
  <c r="H1914" i="5"/>
  <c r="F1914" i="5"/>
  <c r="R1914" i="5"/>
  <c r="J1914" i="5"/>
  <c r="R1737" i="5"/>
  <c r="H1737" i="5"/>
  <c r="F1737" i="5"/>
  <c r="J1737" i="5"/>
  <c r="I1737" i="5"/>
  <c r="F1550" i="5"/>
  <c r="H1550" i="5"/>
  <c r="R1550" i="5"/>
  <c r="J1550" i="5"/>
  <c r="I1550" i="5"/>
  <c r="R1747" i="5"/>
  <c r="J1747" i="5"/>
  <c r="I1747" i="5"/>
  <c r="H1747" i="5"/>
  <c r="F1747" i="5"/>
  <c r="R1671" i="5"/>
  <c r="J1671" i="5"/>
  <c r="I1671" i="5"/>
  <c r="H1671" i="5"/>
  <c r="F1671" i="5"/>
  <c r="R1552" i="5"/>
  <c r="J1552" i="5"/>
  <c r="H1552" i="5"/>
  <c r="I1552" i="5"/>
  <c r="F1552" i="5"/>
  <c r="R1667" i="5"/>
  <c r="J1667" i="5"/>
  <c r="I1667" i="5"/>
  <c r="H1667" i="5"/>
  <c r="F1667" i="5"/>
  <c r="I1825" i="5"/>
  <c r="R1825" i="5"/>
  <c r="J1825" i="5"/>
  <c r="H1825" i="5"/>
  <c r="F1825" i="5"/>
  <c r="R1655" i="5"/>
  <c r="J1655" i="5"/>
  <c r="I1655" i="5"/>
  <c r="H1655" i="5"/>
  <c r="F1655" i="5"/>
  <c r="J1413" i="5"/>
  <c r="I1413" i="5"/>
  <c r="H1413" i="5"/>
  <c r="R1413" i="5"/>
  <c r="F1413" i="5"/>
  <c r="I1615" i="5"/>
  <c r="H1615" i="5"/>
  <c r="F1615" i="5"/>
  <c r="R1615" i="5"/>
  <c r="J1615" i="5"/>
  <c r="I1583" i="5"/>
  <c r="H1583" i="5"/>
  <c r="F1583" i="5"/>
  <c r="R1583" i="5"/>
  <c r="J1583" i="5"/>
  <c r="R1346" i="5"/>
  <c r="I1346" i="5"/>
  <c r="H1346" i="5"/>
  <c r="J1346" i="5"/>
  <c r="F1346" i="5"/>
  <c r="H1476" i="5"/>
  <c r="F1476" i="5"/>
  <c r="J1476" i="5"/>
  <c r="I1476" i="5"/>
  <c r="R1476" i="5"/>
  <c r="F1394" i="5"/>
  <c r="R1394" i="5"/>
  <c r="I1394" i="5"/>
  <c r="H1394" i="5"/>
  <c r="J1394" i="5"/>
  <c r="R1604" i="5"/>
  <c r="J1604" i="5"/>
  <c r="I1604" i="5"/>
  <c r="H1604" i="5"/>
  <c r="F1604" i="5"/>
  <c r="R1687" i="5"/>
  <c r="J1687" i="5"/>
  <c r="I1687" i="5"/>
  <c r="H1687" i="5"/>
  <c r="F1687" i="5"/>
  <c r="R1392" i="5"/>
  <c r="J1392" i="5"/>
  <c r="F1392" i="5"/>
  <c r="I1392" i="5"/>
  <c r="H1392" i="5"/>
  <c r="R1584" i="5"/>
  <c r="J1584" i="5"/>
  <c r="I1584" i="5"/>
  <c r="H1584" i="5"/>
  <c r="F1584" i="5"/>
  <c r="J1445" i="5"/>
  <c r="H1445" i="5"/>
  <c r="I1445" i="5"/>
  <c r="F1445" i="5"/>
  <c r="R1445" i="5"/>
  <c r="R1592" i="5"/>
  <c r="J1592" i="5"/>
  <c r="I1592" i="5"/>
  <c r="H1592" i="5"/>
  <c r="F1592" i="5"/>
  <c r="R1517" i="5"/>
  <c r="J1517" i="5"/>
  <c r="H1517" i="5"/>
  <c r="I1517" i="5"/>
  <c r="F1517" i="5"/>
  <c r="J1244" i="5"/>
  <c r="I1244" i="5"/>
  <c r="R1244" i="5"/>
  <c r="H1244" i="5"/>
  <c r="F1244" i="5"/>
  <c r="J1477" i="5"/>
  <c r="H1477" i="5"/>
  <c r="I1477" i="5"/>
  <c r="F1477" i="5"/>
  <c r="R1477" i="5"/>
  <c r="I1335" i="5"/>
  <c r="H1335" i="5"/>
  <c r="R1335" i="5"/>
  <c r="J1335" i="5"/>
  <c r="F1335" i="5"/>
  <c r="I1303" i="5"/>
  <c r="H1303" i="5"/>
  <c r="R1303" i="5"/>
  <c r="J1303" i="5"/>
  <c r="F1303" i="5"/>
  <c r="I1271" i="5"/>
  <c r="H1271" i="5"/>
  <c r="R1271" i="5"/>
  <c r="J1271" i="5"/>
  <c r="F1271" i="5"/>
  <c r="F1366" i="5"/>
  <c r="R1366" i="5"/>
  <c r="J1366" i="5"/>
  <c r="I1366" i="5"/>
  <c r="H1366" i="5"/>
  <c r="H1016" i="5"/>
  <c r="F1016" i="5"/>
  <c r="R1016" i="5"/>
  <c r="I1016" i="5"/>
  <c r="J1016" i="5"/>
  <c r="R1137" i="5"/>
  <c r="J1137" i="5"/>
  <c r="I1137" i="5"/>
  <c r="H1137" i="5"/>
  <c r="F1137" i="5"/>
  <c r="F1162" i="5"/>
  <c r="R1162" i="5"/>
  <c r="J1162" i="5"/>
  <c r="I1162" i="5"/>
  <c r="H1162" i="5"/>
  <c r="H1120" i="5"/>
  <c r="F1120" i="5"/>
  <c r="R1120" i="5"/>
  <c r="I1120" i="5"/>
  <c r="J1120" i="5"/>
  <c r="H1056" i="5"/>
  <c r="F1056" i="5"/>
  <c r="R1056" i="5"/>
  <c r="I1056" i="5"/>
  <c r="J1056" i="5"/>
  <c r="H992" i="5"/>
  <c r="F992" i="5"/>
  <c r="R992" i="5"/>
  <c r="J992" i="5"/>
  <c r="I992" i="5"/>
  <c r="F1238" i="5"/>
  <c r="R1238" i="5"/>
  <c r="J1238" i="5"/>
  <c r="H1238" i="5"/>
  <c r="I1238" i="5"/>
  <c r="H988" i="5"/>
  <c r="F988" i="5"/>
  <c r="R988" i="5"/>
  <c r="J988" i="5"/>
  <c r="I988" i="5"/>
  <c r="H1116" i="5"/>
  <c r="F1116" i="5"/>
  <c r="R1116" i="5"/>
  <c r="J1116" i="5"/>
  <c r="I1116" i="5"/>
  <c r="H1052" i="5"/>
  <c r="F1052" i="5"/>
  <c r="R1052" i="5"/>
  <c r="J1052" i="5"/>
  <c r="I1052" i="5"/>
  <c r="R932" i="5"/>
  <c r="J932" i="5"/>
  <c r="I932" i="5"/>
  <c r="F932" i="5"/>
  <c r="H932" i="5"/>
  <c r="R914" i="5"/>
  <c r="I914" i="5"/>
  <c r="J914" i="5"/>
  <c r="H914" i="5"/>
  <c r="F914" i="5"/>
  <c r="R870" i="5"/>
  <c r="I870" i="5"/>
  <c r="J870" i="5"/>
  <c r="H870" i="5"/>
  <c r="F870" i="5"/>
  <c r="R863" i="5"/>
  <c r="I863" i="5"/>
  <c r="H863" i="5"/>
  <c r="F863" i="5"/>
  <c r="J863" i="5"/>
  <c r="J1049" i="5"/>
  <c r="I1049" i="5"/>
  <c r="H1049" i="5"/>
  <c r="R1049" i="5"/>
  <c r="F1049"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R324" i="5"/>
  <c r="R300" i="5"/>
  <c r="R292" i="5"/>
  <c r="R284" i="5"/>
  <c r="R276" i="5"/>
  <c r="R268" i="5"/>
  <c r="R252" i="5"/>
  <c r="R244" i="5"/>
  <c r="R132" i="5"/>
  <c r="R402" i="5"/>
  <c r="J402" i="5"/>
  <c r="I402" i="5"/>
  <c r="H402" i="5"/>
  <c r="F402" i="5"/>
  <c r="R204" i="5"/>
  <c r="R116" i="5"/>
  <c r="R104" i="5"/>
  <c r="G20" i="6"/>
  <c r="B45" i="6"/>
  <c r="G45" i="6"/>
  <c r="D17" i="6"/>
  <c r="H2439" i="5"/>
  <c r="F2439" i="5"/>
  <c r="R2439" i="5"/>
  <c r="J2439" i="5"/>
  <c r="I2439" i="5"/>
  <c r="F2414" i="5"/>
  <c r="R2414" i="5"/>
  <c r="J2414" i="5"/>
  <c r="I2414" i="5"/>
  <c r="H2414" i="5"/>
  <c r="J2448" i="5"/>
  <c r="F2448" i="5"/>
  <c r="I2448" i="5"/>
  <c r="H2448" i="5"/>
  <c r="R2448" i="5"/>
  <c r="B27" i="6"/>
  <c r="G27" i="6" s="1"/>
  <c r="H27" i="6" s="1"/>
  <c r="D27" i="6" s="1"/>
  <c r="I2427" i="5"/>
  <c r="H2427" i="5"/>
  <c r="F2427" i="5"/>
  <c r="R2427" i="5"/>
  <c r="J2427" i="5"/>
  <c r="J2378" i="5"/>
  <c r="H2378" i="5"/>
  <c r="F2378" i="5"/>
  <c r="R2378" i="5"/>
  <c r="I2378" i="5"/>
  <c r="F2287" i="5"/>
  <c r="R2287" i="5"/>
  <c r="I2287" i="5"/>
  <c r="J2287" i="5"/>
  <c r="H2287" i="5"/>
  <c r="J2192" i="5"/>
  <c r="R2192" i="5"/>
  <c r="I2192" i="5"/>
  <c r="H2192" i="5"/>
  <c r="F2192" i="5"/>
  <c r="I2135" i="5"/>
  <c r="H2135" i="5"/>
  <c r="F2135" i="5"/>
  <c r="R2135" i="5"/>
  <c r="J2135" i="5"/>
  <c r="H2266" i="5"/>
  <c r="F2266" i="5"/>
  <c r="R2266" i="5"/>
  <c r="J2266" i="5"/>
  <c r="I2266" i="5"/>
  <c r="F2222" i="5"/>
  <c r="R2222" i="5"/>
  <c r="J2222" i="5"/>
  <c r="I2222" i="5"/>
  <c r="H2222" i="5"/>
  <c r="R2172" i="5"/>
  <c r="J2172" i="5"/>
  <c r="I2172" i="5"/>
  <c r="H2172" i="5"/>
  <c r="F2172" i="5"/>
  <c r="H2114" i="5"/>
  <c r="F2114" i="5"/>
  <c r="J2114" i="5"/>
  <c r="I2114" i="5"/>
  <c r="R2114" i="5"/>
  <c r="F2098" i="5"/>
  <c r="I2098" i="5"/>
  <c r="H2098" i="5"/>
  <c r="R2098" i="5"/>
  <c r="J2098" i="5"/>
  <c r="I2151" i="5"/>
  <c r="H2151" i="5"/>
  <c r="F2151" i="5"/>
  <c r="R2151" i="5"/>
  <c r="J2151" i="5"/>
  <c r="H2238" i="5"/>
  <c r="F2238" i="5"/>
  <c r="R2238" i="5"/>
  <c r="J2238" i="5"/>
  <c r="I2238" i="5"/>
  <c r="F2086" i="5"/>
  <c r="R2086" i="5"/>
  <c r="J2086" i="5"/>
  <c r="I2086" i="5"/>
  <c r="H2086" i="5"/>
  <c r="I2091" i="5"/>
  <c r="H2091" i="5"/>
  <c r="F2091" i="5"/>
  <c r="R2091" i="5"/>
  <c r="J2091" i="5"/>
  <c r="I2055" i="5"/>
  <c r="H2055" i="5"/>
  <c r="F2055" i="5"/>
  <c r="R2055" i="5"/>
  <c r="J2055" i="5"/>
  <c r="I2139" i="5"/>
  <c r="H2139" i="5"/>
  <c r="F2139" i="5"/>
  <c r="R2139" i="5"/>
  <c r="J2139" i="5"/>
  <c r="F2078" i="5"/>
  <c r="R2078" i="5"/>
  <c r="J2078" i="5"/>
  <c r="I2078" i="5"/>
  <c r="H2078" i="5"/>
  <c r="F2070" i="5"/>
  <c r="R2070" i="5"/>
  <c r="J2070" i="5"/>
  <c r="I2070" i="5"/>
  <c r="H2070" i="5"/>
  <c r="F2062" i="5"/>
  <c r="R2062" i="5"/>
  <c r="J2062" i="5"/>
  <c r="I2062" i="5"/>
  <c r="H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I1861" i="5"/>
  <c r="H1861" i="5"/>
  <c r="F1861" i="5"/>
  <c r="R1861" i="5"/>
  <c r="J1861" i="5"/>
  <c r="J2263" i="5"/>
  <c r="I2263" i="5"/>
  <c r="H2263" i="5"/>
  <c r="R2263" i="5"/>
  <c r="F2263" i="5"/>
  <c r="R2034" i="5"/>
  <c r="J2034" i="5"/>
  <c r="I2034" i="5"/>
  <c r="H2034" i="5"/>
  <c r="F2034" i="5"/>
  <c r="R1819" i="5"/>
  <c r="F1819" i="5"/>
  <c r="J1819" i="5"/>
  <c r="I1819" i="5"/>
  <c r="H1819" i="5"/>
  <c r="H1803" i="5"/>
  <c r="F1803" i="5"/>
  <c r="R1803" i="5"/>
  <c r="J1803" i="5"/>
  <c r="I1803" i="5"/>
  <c r="H1771" i="5"/>
  <c r="F1771" i="5"/>
  <c r="R1771" i="5"/>
  <c r="J1771" i="5"/>
  <c r="I1771" i="5"/>
  <c r="F2082" i="5"/>
  <c r="R2082" i="5"/>
  <c r="J2082" i="5"/>
  <c r="I2082" i="5"/>
  <c r="H2082" i="5"/>
  <c r="J1880" i="5"/>
  <c r="R1880" i="5"/>
  <c r="I1880" i="5"/>
  <c r="H1880" i="5"/>
  <c r="F1880" i="5"/>
  <c r="H1763" i="5"/>
  <c r="F1763" i="5"/>
  <c r="R1763" i="5"/>
  <c r="I1763" i="5"/>
  <c r="J1763" i="5"/>
  <c r="R1745" i="5"/>
  <c r="H1745" i="5"/>
  <c r="F1745" i="5"/>
  <c r="J1745" i="5"/>
  <c r="I1745" i="5"/>
  <c r="I1722" i="5"/>
  <c r="H1722" i="5"/>
  <c r="F1722" i="5"/>
  <c r="J1722" i="5"/>
  <c r="R1722" i="5"/>
  <c r="I1706" i="5"/>
  <c r="H1706" i="5"/>
  <c r="F1706" i="5"/>
  <c r="R1706" i="5"/>
  <c r="J1706" i="5"/>
  <c r="I1690" i="5"/>
  <c r="H1690" i="5"/>
  <c r="F1690" i="5"/>
  <c r="R1690" i="5"/>
  <c r="J1690" i="5"/>
  <c r="I1674" i="5"/>
  <c r="H1674" i="5"/>
  <c r="F1674" i="5"/>
  <c r="R1674" i="5"/>
  <c r="J1674" i="5"/>
  <c r="I1658" i="5"/>
  <c r="H1658" i="5"/>
  <c r="F1658" i="5"/>
  <c r="R1658" i="5"/>
  <c r="J1658" i="5"/>
  <c r="I1642" i="5"/>
  <c r="H1642" i="5"/>
  <c r="F1642" i="5"/>
  <c r="R1642" i="5"/>
  <c r="J1642" i="5"/>
  <c r="H1626" i="5"/>
  <c r="F1626" i="5"/>
  <c r="R1626" i="5"/>
  <c r="J1626" i="5"/>
  <c r="I1626" i="5"/>
  <c r="F1610" i="5"/>
  <c r="R1610" i="5"/>
  <c r="J1610" i="5"/>
  <c r="I1610" i="5"/>
  <c r="H1610" i="5"/>
  <c r="F1594" i="5"/>
  <c r="R1594" i="5"/>
  <c r="J1594" i="5"/>
  <c r="I1594" i="5"/>
  <c r="H1594" i="5"/>
  <c r="F1578" i="5"/>
  <c r="R1578" i="5"/>
  <c r="J1578" i="5"/>
  <c r="I1578" i="5"/>
  <c r="H1578" i="5"/>
  <c r="F1562" i="5"/>
  <c r="R1562" i="5"/>
  <c r="J1562" i="5"/>
  <c r="I1562" i="5"/>
  <c r="H1562" i="5"/>
  <c r="R1846" i="5"/>
  <c r="J1846" i="5"/>
  <c r="I1846" i="5"/>
  <c r="H1846" i="5"/>
  <c r="F1846" i="5"/>
  <c r="I1742" i="5"/>
  <c r="J1742" i="5"/>
  <c r="H1742" i="5"/>
  <c r="F1742" i="5"/>
  <c r="R1742" i="5"/>
  <c r="R1624" i="5"/>
  <c r="J1624" i="5"/>
  <c r="I1624" i="5"/>
  <c r="H1624" i="5"/>
  <c r="F1624" i="5"/>
  <c r="R1699" i="5"/>
  <c r="J1699" i="5"/>
  <c r="I1699" i="5"/>
  <c r="H1699" i="5"/>
  <c r="F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J1338" i="5"/>
  <c r="I1338" i="5"/>
  <c r="R1572" i="5"/>
  <c r="J1572" i="5"/>
  <c r="I1572" i="5"/>
  <c r="H1572" i="5"/>
  <c r="F1572" i="5"/>
  <c r="R1360" i="5"/>
  <c r="J1360" i="5"/>
  <c r="H1360" i="5"/>
  <c r="F1360" i="5"/>
  <c r="I1360" i="5"/>
  <c r="F1399" i="5"/>
  <c r="R1399" i="5"/>
  <c r="J1399" i="5"/>
  <c r="I1399" i="5"/>
  <c r="H1399" i="5"/>
  <c r="I1528" i="5"/>
  <c r="H1528" i="5"/>
  <c r="F1528" i="5"/>
  <c r="R1528" i="5"/>
  <c r="J1528" i="5"/>
  <c r="H1134" i="5"/>
  <c r="F1134" i="5"/>
  <c r="R1134" i="5"/>
  <c r="I1134" i="5"/>
  <c r="J1134" i="5"/>
  <c r="J1627" i="5"/>
  <c r="I1627" i="5"/>
  <c r="H1627" i="5"/>
  <c r="F1627" i="5"/>
  <c r="R1627" i="5"/>
  <c r="R1560" i="5"/>
  <c r="J1560" i="5"/>
  <c r="I1560" i="5"/>
  <c r="H1560" i="5"/>
  <c r="F1560" i="5"/>
  <c r="H1207" i="5"/>
  <c r="R1207" i="5"/>
  <c r="J1207" i="5"/>
  <c r="I1207" i="5"/>
  <c r="F1207" i="5"/>
  <c r="H1108" i="5"/>
  <c r="F1108" i="5"/>
  <c r="R1108" i="5"/>
  <c r="I1108" i="5"/>
  <c r="J1108" i="5"/>
  <c r="H1044" i="5"/>
  <c r="F1044" i="5"/>
  <c r="R1044" i="5"/>
  <c r="I1044" i="5"/>
  <c r="J1044" i="5"/>
  <c r="F1398" i="5"/>
  <c r="R1398" i="5"/>
  <c r="J1398" i="5"/>
  <c r="I1398" i="5"/>
  <c r="H1398" i="5"/>
  <c r="R1368" i="5"/>
  <c r="J1368" i="5"/>
  <c r="H1368" i="5"/>
  <c r="F1368" i="5"/>
  <c r="I1368" i="5"/>
  <c r="I1323" i="5"/>
  <c r="H1323" i="5"/>
  <c r="R1323" i="5"/>
  <c r="J1323" i="5"/>
  <c r="F1323" i="5"/>
  <c r="I1291" i="5"/>
  <c r="H1291" i="5"/>
  <c r="R1291" i="5"/>
  <c r="J1291" i="5"/>
  <c r="F1291" i="5"/>
  <c r="I1259" i="5"/>
  <c r="H1259" i="5"/>
  <c r="R1259" i="5"/>
  <c r="J1259" i="5"/>
  <c r="F1259" i="5"/>
  <c r="F1350" i="5"/>
  <c r="R1350" i="5"/>
  <c r="J1350" i="5"/>
  <c r="I1350" i="5"/>
  <c r="H1350" i="5"/>
  <c r="F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F1290" i="5"/>
  <c r="R1290" i="5"/>
  <c r="J1290" i="5"/>
  <c r="I1290" i="5"/>
  <c r="H1290" i="5"/>
  <c r="F1282" i="5"/>
  <c r="R1282" i="5"/>
  <c r="J1282" i="5"/>
  <c r="I1282" i="5"/>
  <c r="H1282" i="5"/>
  <c r="F1274" i="5"/>
  <c r="R1274" i="5"/>
  <c r="J1274" i="5"/>
  <c r="I1274" i="5"/>
  <c r="H1274" i="5"/>
  <c r="H1012" i="5"/>
  <c r="F1012" i="5"/>
  <c r="R1012" i="5"/>
  <c r="J1012" i="5"/>
  <c r="I1012" i="5"/>
  <c r="H1231" i="5"/>
  <c r="R1231" i="5"/>
  <c r="J1231" i="5"/>
  <c r="F1231" i="5"/>
  <c r="I1231" i="5"/>
  <c r="R911" i="5"/>
  <c r="I911" i="5"/>
  <c r="H911" i="5"/>
  <c r="F911" i="5"/>
  <c r="J911" i="5"/>
  <c r="R900" i="5"/>
  <c r="I900" i="5"/>
  <c r="F900" i="5"/>
  <c r="J900" i="5"/>
  <c r="H900" i="5"/>
  <c r="H1004" i="5"/>
  <c r="F1004" i="5"/>
  <c r="R1004" i="5"/>
  <c r="J1004" i="5"/>
  <c r="I1004" i="5"/>
  <c r="R895" i="5"/>
  <c r="I895" i="5"/>
  <c r="H895" i="5"/>
  <c r="F895" i="5"/>
  <c r="J895" i="5"/>
  <c r="J1033" i="5"/>
  <c r="I1033" i="5"/>
  <c r="H1033" i="5"/>
  <c r="R1033" i="5"/>
  <c r="F1033" i="5"/>
  <c r="J1081" i="5"/>
  <c r="I1081" i="5"/>
  <c r="H1081" i="5"/>
  <c r="R1081" i="5"/>
  <c r="F1081"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R184" i="5"/>
  <c r="R328" i="5"/>
  <c r="R220" i="5"/>
  <c r="F2422" i="5"/>
  <c r="R2422" i="5"/>
  <c r="I2422" i="5"/>
  <c r="H2422" i="5"/>
  <c r="J2422" i="5"/>
  <c r="R2396" i="5"/>
  <c r="J2396" i="5"/>
  <c r="I2396" i="5"/>
  <c r="F2396" i="5"/>
  <c r="H2396" i="5"/>
  <c r="H2331" i="5"/>
  <c r="F2331" i="5"/>
  <c r="R2331" i="5"/>
  <c r="I2331" i="5"/>
  <c r="J2331" i="5"/>
  <c r="H2327" i="5"/>
  <c r="F2327" i="5"/>
  <c r="I2327" i="5"/>
  <c r="R2327" i="5"/>
  <c r="J2327" i="5"/>
  <c r="I2292" i="5"/>
  <c r="J2292" i="5"/>
  <c r="H2292" i="5"/>
  <c r="F2292" i="5"/>
  <c r="R2292" i="5"/>
  <c r="R2290" i="5"/>
  <c r="I2290" i="5"/>
  <c r="J2290" i="5"/>
  <c r="H2290" i="5"/>
  <c r="F2290" i="5"/>
  <c r="H2123" i="5"/>
  <c r="F2123" i="5"/>
  <c r="R2123" i="5"/>
  <c r="J2123" i="5"/>
  <c r="I2123" i="5"/>
  <c r="R2281" i="5"/>
  <c r="I2281" i="5"/>
  <c r="H2281" i="5"/>
  <c r="F2281" i="5"/>
  <c r="J2281" i="5"/>
  <c r="I2099" i="5"/>
  <c r="H2099" i="5"/>
  <c r="F2099" i="5"/>
  <c r="R2099" i="5"/>
  <c r="J2099" i="5"/>
  <c r="R1958" i="5"/>
  <c r="J1958" i="5"/>
  <c r="I1958" i="5"/>
  <c r="H1958" i="5"/>
  <c r="F1958" i="5"/>
  <c r="I1837" i="5"/>
  <c r="F1837" i="5"/>
  <c r="R1837" i="5"/>
  <c r="J1837" i="5"/>
  <c r="H1837" i="5"/>
  <c r="R1970" i="5"/>
  <c r="J1970" i="5"/>
  <c r="I1970" i="5"/>
  <c r="H1970" i="5"/>
  <c r="F1970" i="5"/>
  <c r="J1888" i="5"/>
  <c r="R1888" i="5"/>
  <c r="I1888" i="5"/>
  <c r="H1888" i="5"/>
  <c r="F1888" i="5"/>
  <c r="J1796" i="5"/>
  <c r="I1796" i="5"/>
  <c r="H1796" i="5"/>
  <c r="F1796" i="5"/>
  <c r="R1796" i="5"/>
  <c r="J1788" i="5"/>
  <c r="I1788" i="5"/>
  <c r="H1788" i="5"/>
  <c r="F1788" i="5"/>
  <c r="R1788" i="5"/>
  <c r="J1780" i="5"/>
  <c r="I1780" i="5"/>
  <c r="H1780" i="5"/>
  <c r="F1780" i="5"/>
  <c r="R1780" i="5"/>
  <c r="I1726" i="5"/>
  <c r="H1726" i="5"/>
  <c r="F1726" i="5"/>
  <c r="J1726" i="5"/>
  <c r="R1726" i="5"/>
  <c r="I1694" i="5"/>
  <c r="H1694" i="5"/>
  <c r="F1694" i="5"/>
  <c r="J1694" i="5"/>
  <c r="R1694" i="5"/>
  <c r="I1646" i="5"/>
  <c r="H1646" i="5"/>
  <c r="F1646" i="5"/>
  <c r="R1646" i="5"/>
  <c r="J1646" i="5"/>
  <c r="F1614" i="5"/>
  <c r="R1614" i="5"/>
  <c r="J1614" i="5"/>
  <c r="I1614" i="5"/>
  <c r="H1614" i="5"/>
  <c r="F1582" i="5"/>
  <c r="R1582" i="5"/>
  <c r="J1582" i="5"/>
  <c r="I1582" i="5"/>
  <c r="H1582" i="5"/>
  <c r="R1659" i="5"/>
  <c r="J1659" i="5"/>
  <c r="I1659" i="5"/>
  <c r="H1659" i="5"/>
  <c r="F1659" i="5"/>
  <c r="R1679" i="5"/>
  <c r="J1679" i="5"/>
  <c r="I1679" i="5"/>
  <c r="H1679" i="5"/>
  <c r="F1679" i="5"/>
  <c r="I1571" i="5"/>
  <c r="H1571" i="5"/>
  <c r="F1571" i="5"/>
  <c r="R1571" i="5"/>
  <c r="J1571" i="5"/>
  <c r="R1485" i="5"/>
  <c r="J1485" i="5"/>
  <c r="H1485" i="5"/>
  <c r="I1485" i="5"/>
  <c r="F1485" i="5"/>
  <c r="H1456" i="5"/>
  <c r="F1456" i="5"/>
  <c r="I1456" i="5"/>
  <c r="R1456" i="5"/>
  <c r="J1456" i="5"/>
  <c r="I1532" i="5"/>
  <c r="H1532" i="5"/>
  <c r="F1532" i="5"/>
  <c r="J1532" i="5"/>
  <c r="R1532" i="5"/>
  <c r="R1612" i="5"/>
  <c r="J1612" i="5"/>
  <c r="I1612" i="5"/>
  <c r="H1612" i="5"/>
  <c r="F1612" i="5"/>
  <c r="J1461" i="5"/>
  <c r="H1461" i="5"/>
  <c r="I1461" i="5"/>
  <c r="F1461" i="5"/>
  <c r="R1461" i="5"/>
  <c r="H1235" i="5"/>
  <c r="F1235" i="5"/>
  <c r="R1235" i="5"/>
  <c r="J1235" i="5"/>
  <c r="I1235" i="5"/>
  <c r="H1171" i="5"/>
  <c r="F1171" i="5"/>
  <c r="R1171" i="5"/>
  <c r="J1171" i="5"/>
  <c r="I1171" i="5"/>
  <c r="R1501" i="5"/>
  <c r="J1501" i="5"/>
  <c r="H1501" i="5"/>
  <c r="I1501" i="5"/>
  <c r="F1501" i="5"/>
  <c r="F1386" i="5"/>
  <c r="R1386" i="5"/>
  <c r="J1386" i="5"/>
  <c r="I1386" i="5"/>
  <c r="H1386" i="5"/>
  <c r="R1596" i="5"/>
  <c r="J1596" i="5"/>
  <c r="I1596" i="5"/>
  <c r="H1596" i="5"/>
  <c r="F1596" i="5"/>
  <c r="F1174" i="5"/>
  <c r="R1174" i="5"/>
  <c r="J1174" i="5"/>
  <c r="H1174" i="5"/>
  <c r="I1174" i="5"/>
  <c r="H1092" i="5"/>
  <c r="F1092" i="5"/>
  <c r="R1092" i="5"/>
  <c r="I1092" i="5"/>
  <c r="J1092" i="5"/>
  <c r="H1028" i="5"/>
  <c r="F1028" i="5"/>
  <c r="R1028" i="5"/>
  <c r="J1028" i="5"/>
  <c r="I1028" i="5"/>
  <c r="F1407" i="5"/>
  <c r="R1407" i="5"/>
  <c r="J1407" i="5"/>
  <c r="I1407" i="5"/>
  <c r="H1407" i="5"/>
  <c r="I1331" i="5"/>
  <c r="H1331" i="5"/>
  <c r="R1331" i="5"/>
  <c r="J1331" i="5"/>
  <c r="F1331" i="5"/>
  <c r="I1299" i="5"/>
  <c r="H1299" i="5"/>
  <c r="R1299" i="5"/>
  <c r="J1299" i="5"/>
  <c r="F1299" i="5"/>
  <c r="I1267" i="5"/>
  <c r="H1267" i="5"/>
  <c r="R1267" i="5"/>
  <c r="J1267" i="5"/>
  <c r="F1267" i="5"/>
  <c r="F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R1384" i="5"/>
  <c r="J1384" i="5"/>
  <c r="H1384" i="5"/>
  <c r="F1384" i="5"/>
  <c r="I1384" i="5"/>
  <c r="R927" i="5"/>
  <c r="I927" i="5"/>
  <c r="H927" i="5"/>
  <c r="F927" i="5"/>
  <c r="J927" i="5"/>
  <c r="H1195" i="5"/>
  <c r="J1195" i="5"/>
  <c r="I1195" i="5"/>
  <c r="F1195" i="5"/>
  <c r="R1195"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2418" i="5"/>
  <c r="R2418" i="5"/>
  <c r="J2418" i="5"/>
  <c r="I2418" i="5"/>
  <c r="H2418" i="5"/>
  <c r="J2468" i="5"/>
  <c r="I2468" i="5"/>
  <c r="R2468" i="5"/>
  <c r="H2468" i="5"/>
  <c r="F2468" i="5"/>
  <c r="I2407" i="5"/>
  <c r="H2407" i="5"/>
  <c r="F2407" i="5"/>
  <c r="J2407" i="5"/>
  <c r="R2407" i="5"/>
  <c r="I2431" i="5"/>
  <c r="H2431" i="5"/>
  <c r="F2431" i="5"/>
  <c r="J2431" i="5"/>
  <c r="R2431" i="5"/>
  <c r="H2347" i="5"/>
  <c r="F2347" i="5"/>
  <c r="R2347" i="5"/>
  <c r="J2347" i="5"/>
  <c r="I2347" i="5"/>
  <c r="I2111" i="5"/>
  <c r="H2111" i="5"/>
  <c r="F2111" i="5"/>
  <c r="R2111" i="5"/>
  <c r="J2111" i="5"/>
  <c r="I1738" i="5"/>
  <c r="R1738" i="5"/>
  <c r="J1738" i="5"/>
  <c r="H1738" i="5"/>
  <c r="F1738" i="5"/>
  <c r="R1711" i="5"/>
  <c r="J1711" i="5"/>
  <c r="I1711" i="5"/>
  <c r="H1711" i="5"/>
  <c r="F1711" i="5"/>
  <c r="R1675" i="5"/>
  <c r="J1675" i="5"/>
  <c r="I1675" i="5"/>
  <c r="H1675" i="5"/>
  <c r="F1675" i="5"/>
  <c r="J1401" i="5"/>
  <c r="I1401" i="5"/>
  <c r="R1401" i="5"/>
  <c r="H1401" i="5"/>
  <c r="F1401" i="5"/>
  <c r="I1295" i="5"/>
  <c r="H1295" i="5"/>
  <c r="R1295" i="5"/>
  <c r="J1295" i="5"/>
  <c r="F1295"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R216" i="5"/>
  <c r="R120" i="5"/>
  <c r="R140" i="5"/>
  <c r="R192" i="5"/>
  <c r="J2479" i="5"/>
  <c r="I2479" i="5"/>
  <c r="R2479" i="5"/>
  <c r="H2479" i="5"/>
  <c r="F2479" i="5"/>
  <c r="F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F2398" i="5"/>
  <c r="R2398" i="5"/>
  <c r="J2398" i="5"/>
  <c r="I2398" i="5"/>
  <c r="H2398" i="5"/>
  <c r="J2370" i="5"/>
  <c r="H2370" i="5"/>
  <c r="F2370" i="5"/>
  <c r="R2370" i="5"/>
  <c r="I2370" i="5"/>
  <c r="F2470" i="5"/>
  <c r="R2470" i="5"/>
  <c r="J2470" i="5"/>
  <c r="I2470" i="5"/>
  <c r="H2470" i="5"/>
  <c r="H2339" i="5"/>
  <c r="F2339" i="5"/>
  <c r="R2339" i="5"/>
  <c r="J2339" i="5"/>
  <c r="I2339" i="5"/>
  <c r="F2315" i="5"/>
  <c r="R2315" i="5"/>
  <c r="H2315" i="5"/>
  <c r="I2315" i="5"/>
  <c r="J2315" i="5"/>
  <c r="R2424" i="5"/>
  <c r="J2424" i="5"/>
  <c r="I2424" i="5"/>
  <c r="H2424" i="5"/>
  <c r="F2424" i="5"/>
  <c r="J2344" i="5"/>
  <c r="I2344" i="5"/>
  <c r="H2344" i="5"/>
  <c r="F2344" i="5"/>
  <c r="R2344" i="5"/>
  <c r="I2276" i="5"/>
  <c r="H2276" i="5"/>
  <c r="R2276" i="5"/>
  <c r="J2276" i="5"/>
  <c r="F2276" i="5"/>
  <c r="H2262" i="5"/>
  <c r="F2262" i="5"/>
  <c r="R2262" i="5"/>
  <c r="J2262" i="5"/>
  <c r="I2262" i="5"/>
  <c r="I2131" i="5"/>
  <c r="H2131" i="5"/>
  <c r="F2131" i="5"/>
  <c r="R2131" i="5"/>
  <c r="J2131" i="5"/>
  <c r="H2119" i="5"/>
  <c r="R2119" i="5"/>
  <c r="J2119" i="5"/>
  <c r="I2119" i="5"/>
  <c r="F2119" i="5"/>
  <c r="R2136" i="5"/>
  <c r="J2136" i="5"/>
  <c r="I2136" i="5"/>
  <c r="H2136" i="5"/>
  <c r="F2136" i="5"/>
  <c r="F2050" i="5"/>
  <c r="R2050" i="5"/>
  <c r="J2050" i="5"/>
  <c r="I2050" i="5"/>
  <c r="H2050" i="5"/>
  <c r="H2219" i="5"/>
  <c r="R2219" i="5"/>
  <c r="J2219" i="5"/>
  <c r="I2219" i="5"/>
  <c r="F2219" i="5"/>
  <c r="I2103" i="5"/>
  <c r="H2103" i="5"/>
  <c r="F2103" i="5"/>
  <c r="R2103" i="5"/>
  <c r="J2103" i="5"/>
  <c r="R2076" i="5"/>
  <c r="J2076" i="5"/>
  <c r="H2076" i="5"/>
  <c r="F2076" i="5"/>
  <c r="I2076" i="5"/>
  <c r="R2148" i="5"/>
  <c r="J2148" i="5"/>
  <c r="I2148" i="5"/>
  <c r="H2148" i="5"/>
  <c r="F2148" i="5"/>
  <c r="R2006" i="5"/>
  <c r="J2006" i="5"/>
  <c r="I2006" i="5"/>
  <c r="H2006" i="5"/>
  <c r="F2006" i="5"/>
  <c r="F1868" i="5"/>
  <c r="R1868" i="5"/>
  <c r="J1868" i="5"/>
  <c r="I1868" i="5"/>
  <c r="H1868" i="5"/>
  <c r="R1986" i="5"/>
  <c r="J1986" i="5"/>
  <c r="I1986" i="5"/>
  <c r="H1986" i="5"/>
  <c r="F1986" i="5"/>
  <c r="R1954" i="5"/>
  <c r="I1954" i="5"/>
  <c r="H1954" i="5"/>
  <c r="F1954" i="5"/>
  <c r="J1954" i="5"/>
  <c r="I1817" i="5"/>
  <c r="R1817" i="5"/>
  <c r="J1817" i="5"/>
  <c r="H1817" i="5"/>
  <c r="F1817" i="5"/>
  <c r="H1799" i="5"/>
  <c r="F1799" i="5"/>
  <c r="R1799" i="5"/>
  <c r="J1799" i="5"/>
  <c r="I1799" i="5"/>
  <c r="I1950" i="5"/>
  <c r="H1950" i="5"/>
  <c r="F1950" i="5"/>
  <c r="R1950" i="5"/>
  <c r="J1950" i="5"/>
  <c r="I1938" i="5"/>
  <c r="H1938" i="5"/>
  <c r="F1938" i="5"/>
  <c r="R1938" i="5"/>
  <c r="J1938" i="5"/>
  <c r="I1812" i="5"/>
  <c r="H1812" i="5"/>
  <c r="F1812" i="5"/>
  <c r="R1812" i="5"/>
  <c r="J1812" i="5"/>
  <c r="H1755" i="5"/>
  <c r="F1755" i="5"/>
  <c r="R1755" i="5"/>
  <c r="J1755" i="5"/>
  <c r="I1755" i="5"/>
  <c r="R1739" i="5"/>
  <c r="J1739" i="5"/>
  <c r="I1739" i="5"/>
  <c r="H1739" i="5"/>
  <c r="F1739" i="5"/>
  <c r="I1744" i="5"/>
  <c r="R1744" i="5"/>
  <c r="J1744" i="5"/>
  <c r="H1744" i="5"/>
  <c r="F1744" i="5"/>
  <c r="R1651" i="5"/>
  <c r="J1651" i="5"/>
  <c r="I1651" i="5"/>
  <c r="H1651" i="5"/>
  <c r="F1651" i="5"/>
  <c r="J1409" i="5"/>
  <c r="I1409" i="5"/>
  <c r="R1409" i="5"/>
  <c r="H1409" i="5"/>
  <c r="F1409" i="5"/>
  <c r="J1421" i="5"/>
  <c r="I1421" i="5"/>
  <c r="H1421" i="5"/>
  <c r="R1421" i="5"/>
  <c r="F1421" i="5"/>
  <c r="J1405" i="5"/>
  <c r="I1405" i="5"/>
  <c r="H1405" i="5"/>
  <c r="R1405" i="5"/>
  <c r="F1405" i="5"/>
  <c r="I1599" i="5"/>
  <c r="H1599" i="5"/>
  <c r="F1599" i="5"/>
  <c r="R1599" i="5"/>
  <c r="J1599" i="5"/>
  <c r="I1567" i="5"/>
  <c r="H1567" i="5"/>
  <c r="F1567" i="5"/>
  <c r="R1567" i="5"/>
  <c r="J1567" i="5"/>
  <c r="R1719" i="5"/>
  <c r="J1719" i="5"/>
  <c r="I1719" i="5"/>
  <c r="H1719" i="5"/>
  <c r="F1719" i="5"/>
  <c r="F1374" i="5"/>
  <c r="R1374" i="5"/>
  <c r="J1374" i="5"/>
  <c r="I1374" i="5"/>
  <c r="H1374" i="5"/>
  <c r="I1375" i="5"/>
  <c r="H1375" i="5"/>
  <c r="R1375" i="5"/>
  <c r="J1375" i="5"/>
  <c r="F1375" i="5"/>
  <c r="I1544" i="5"/>
  <c r="H1544" i="5"/>
  <c r="F1544" i="5"/>
  <c r="R1544" i="5"/>
  <c r="J1544" i="5"/>
  <c r="H1243" i="5"/>
  <c r="R1243" i="5"/>
  <c r="I1243" i="5"/>
  <c r="F1243" i="5"/>
  <c r="J1243" i="5"/>
  <c r="H1211" i="5"/>
  <c r="R1211" i="5"/>
  <c r="I1211" i="5"/>
  <c r="F1211" i="5"/>
  <c r="J1211" i="5"/>
  <c r="H1179" i="5"/>
  <c r="R1179" i="5"/>
  <c r="I1179" i="5"/>
  <c r="J1179" i="5"/>
  <c r="F1179" i="5"/>
  <c r="R1608" i="5"/>
  <c r="J1608" i="5"/>
  <c r="I1608" i="5"/>
  <c r="H1608" i="5"/>
  <c r="F1608" i="5"/>
  <c r="R1521" i="5"/>
  <c r="J1521" i="5"/>
  <c r="H1521" i="5"/>
  <c r="F1521" i="5"/>
  <c r="I1521" i="5"/>
  <c r="R1580" i="5"/>
  <c r="J1580" i="5"/>
  <c r="I1580" i="5"/>
  <c r="H1580" i="5"/>
  <c r="F1580" i="5"/>
  <c r="H1436" i="5"/>
  <c r="R1436" i="5"/>
  <c r="F1436" i="5"/>
  <c r="J1436" i="5"/>
  <c r="I1436" i="5"/>
  <c r="J1228" i="5"/>
  <c r="I1228" i="5"/>
  <c r="F1228" i="5"/>
  <c r="R1228" i="5"/>
  <c r="H1228" i="5"/>
  <c r="J1196" i="5"/>
  <c r="I1196" i="5"/>
  <c r="F1196" i="5"/>
  <c r="R1196" i="5"/>
  <c r="H1196" i="5"/>
  <c r="J1164" i="5"/>
  <c r="I1164" i="5"/>
  <c r="F1164" i="5"/>
  <c r="R1164" i="5"/>
  <c r="H1164" i="5"/>
  <c r="H1215" i="5"/>
  <c r="I1215" i="5"/>
  <c r="F1215" i="5"/>
  <c r="J1215" i="5"/>
  <c r="R1215" i="5"/>
  <c r="F1378" i="5"/>
  <c r="R1378" i="5"/>
  <c r="I1378" i="5"/>
  <c r="H1378" i="5"/>
  <c r="J1378" i="5"/>
  <c r="J1146" i="5"/>
  <c r="I1146" i="5"/>
  <c r="H1146" i="5"/>
  <c r="R1146" i="5"/>
  <c r="F1146" i="5"/>
  <c r="R1564" i="5"/>
  <c r="J1564" i="5"/>
  <c r="I1564" i="5"/>
  <c r="H1564" i="5"/>
  <c r="F1564" i="5"/>
  <c r="I1496" i="5"/>
  <c r="H1496" i="5"/>
  <c r="F1496" i="5"/>
  <c r="R1496" i="5"/>
  <c r="J1496" i="5"/>
  <c r="H1124" i="5"/>
  <c r="F1124" i="5"/>
  <c r="R1124" i="5"/>
  <c r="I1124" i="5"/>
  <c r="J1124" i="5"/>
  <c r="I1319" i="5"/>
  <c r="H1319" i="5"/>
  <c r="R1319" i="5"/>
  <c r="J1319" i="5"/>
  <c r="F1319" i="5"/>
  <c r="I1287" i="5"/>
  <c r="H1287" i="5"/>
  <c r="R1287" i="5"/>
  <c r="J1287" i="5"/>
  <c r="F1287" i="5"/>
  <c r="I1255" i="5"/>
  <c r="H1255" i="5"/>
  <c r="R1255" i="5"/>
  <c r="J1255" i="5"/>
  <c r="F1255" i="5"/>
  <c r="R1647" i="5"/>
  <c r="J1647" i="5"/>
  <c r="I1647" i="5"/>
  <c r="H1647" i="5"/>
  <c r="F1647" i="5"/>
  <c r="F1194" i="5"/>
  <c r="R1194" i="5"/>
  <c r="J1194" i="5"/>
  <c r="I1194" i="5"/>
  <c r="H1194" i="5"/>
  <c r="F1226" i="5"/>
  <c r="R1226" i="5"/>
  <c r="J1226" i="5"/>
  <c r="I1226" i="5"/>
  <c r="H1226" i="5"/>
  <c r="H1088" i="5"/>
  <c r="F1088" i="5"/>
  <c r="R1088" i="5"/>
  <c r="I1088" i="5"/>
  <c r="J1088" i="5"/>
  <c r="H1024" i="5"/>
  <c r="F1024" i="5"/>
  <c r="R1024" i="5"/>
  <c r="J1024" i="5"/>
  <c r="I1024" i="5"/>
  <c r="F1206" i="5"/>
  <c r="R1206" i="5"/>
  <c r="J1206" i="5"/>
  <c r="H1206" i="5"/>
  <c r="I1206" i="5"/>
  <c r="H1084" i="5"/>
  <c r="F1084" i="5"/>
  <c r="R1084" i="5"/>
  <c r="J1084" i="5"/>
  <c r="I1084" i="5"/>
  <c r="F1266" i="5"/>
  <c r="R1266" i="5"/>
  <c r="J1266" i="5"/>
  <c r="I1266" i="5"/>
  <c r="H1266" i="5"/>
  <c r="F968" i="5"/>
  <c r="R968" i="5"/>
  <c r="J968" i="5"/>
  <c r="I968" i="5"/>
  <c r="H968" i="5"/>
  <c r="J989" i="5"/>
  <c r="I989" i="5"/>
  <c r="H989" i="5"/>
  <c r="F989" i="5"/>
  <c r="R989" i="5"/>
  <c r="J1065" i="5"/>
  <c r="I1065" i="5"/>
  <c r="H1065" i="5"/>
  <c r="R1065" i="5"/>
  <c r="F1065"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R288" i="5"/>
  <c r="R280" i="5"/>
  <c r="R272" i="5"/>
  <c r="R264" i="5"/>
  <c r="R256" i="5"/>
  <c r="R240" i="5"/>
  <c r="R232" i="5"/>
  <c r="R382" i="5"/>
  <c r="I382" i="5"/>
  <c r="H382" i="5"/>
  <c r="F382" i="5"/>
  <c r="J382" i="5"/>
  <c r="R359" i="5"/>
  <c r="J359" i="5"/>
  <c r="H359" i="5"/>
  <c r="F359" i="5"/>
  <c r="I359" i="5"/>
  <c r="R196" i="5"/>
  <c r="R144" i="5"/>
  <c r="J2487" i="5"/>
  <c r="I2487" i="5"/>
  <c r="R2487" i="5"/>
  <c r="H2487" i="5"/>
  <c r="F2487" i="5"/>
  <c r="H2467" i="5"/>
  <c r="R2467" i="5"/>
  <c r="J2467" i="5"/>
  <c r="I2467" i="5"/>
  <c r="F2467" i="5"/>
  <c r="J2500" i="5"/>
  <c r="I2500" i="5"/>
  <c r="H2500" i="5"/>
  <c r="R2500" i="5"/>
  <c r="F2500" i="5"/>
  <c r="I2419" i="5"/>
  <c r="H2419" i="5"/>
  <c r="F2419" i="5"/>
  <c r="R2419" i="5"/>
  <c r="J2419" i="5"/>
  <c r="I2269" i="5"/>
  <c r="H2269" i="5"/>
  <c r="F2269" i="5"/>
  <c r="R2269" i="5"/>
  <c r="J2269" i="5"/>
  <c r="J2259" i="5"/>
  <c r="I2259" i="5"/>
  <c r="H2259" i="5"/>
  <c r="R2259" i="5"/>
  <c r="F2259" i="5"/>
  <c r="F2226" i="5"/>
  <c r="R2226" i="5"/>
  <c r="J2226" i="5"/>
  <c r="I2226" i="5"/>
  <c r="H2226" i="5"/>
  <c r="F2214" i="5"/>
  <c r="R2214" i="5"/>
  <c r="J2214" i="5"/>
  <c r="I2214" i="5"/>
  <c r="H2214" i="5"/>
  <c r="H2127" i="5"/>
  <c r="F2127" i="5"/>
  <c r="J2127" i="5"/>
  <c r="I2127" i="5"/>
  <c r="R2127" i="5"/>
  <c r="F2102" i="5"/>
  <c r="I2102" i="5"/>
  <c r="H2102" i="5"/>
  <c r="J2102" i="5"/>
  <c r="R2102" i="5"/>
  <c r="R1994" i="5"/>
  <c r="J1994" i="5"/>
  <c r="I1994" i="5"/>
  <c r="H1994" i="5"/>
  <c r="F1994" i="5"/>
  <c r="I1865" i="5"/>
  <c r="H1865" i="5"/>
  <c r="F1865" i="5"/>
  <c r="R1865" i="5"/>
  <c r="J1865" i="5"/>
  <c r="I1942" i="5"/>
  <c r="H1942" i="5"/>
  <c r="F1942" i="5"/>
  <c r="R1942" i="5"/>
  <c r="J1942" i="5"/>
  <c r="R2022" i="5"/>
  <c r="J2022" i="5"/>
  <c r="I2022" i="5"/>
  <c r="H2022" i="5"/>
  <c r="F2022" i="5"/>
  <c r="J1904" i="5"/>
  <c r="R1904" i="5"/>
  <c r="I1904" i="5"/>
  <c r="H1904" i="5"/>
  <c r="F1904" i="5"/>
  <c r="H1779" i="5"/>
  <c r="F1779" i="5"/>
  <c r="R1779" i="5"/>
  <c r="J1779" i="5"/>
  <c r="I1779" i="5"/>
  <c r="I1821" i="5"/>
  <c r="J1821" i="5"/>
  <c r="H1821" i="5"/>
  <c r="F1821" i="5"/>
  <c r="R1821" i="5"/>
  <c r="I1910" i="5"/>
  <c r="H1910" i="5"/>
  <c r="F1910" i="5"/>
  <c r="R1910" i="5"/>
  <c r="J1910" i="5"/>
  <c r="J1804" i="5"/>
  <c r="I1804" i="5"/>
  <c r="H1804" i="5"/>
  <c r="F1804" i="5"/>
  <c r="R1804" i="5"/>
  <c r="J1800" i="5"/>
  <c r="I1800" i="5"/>
  <c r="H1800" i="5"/>
  <c r="F1800" i="5"/>
  <c r="R1800" i="5"/>
  <c r="J1792" i="5"/>
  <c r="I1792" i="5"/>
  <c r="H1792" i="5"/>
  <c r="F1792" i="5"/>
  <c r="R1792" i="5"/>
  <c r="J1784" i="5"/>
  <c r="I1784" i="5"/>
  <c r="H1784" i="5"/>
  <c r="F1784" i="5"/>
  <c r="R1784" i="5"/>
  <c r="J1776" i="5"/>
  <c r="I1776" i="5"/>
  <c r="H1776" i="5"/>
  <c r="F1776" i="5"/>
  <c r="R1776" i="5"/>
  <c r="I1710" i="5"/>
  <c r="H1710" i="5"/>
  <c r="F1710" i="5"/>
  <c r="R1710" i="5"/>
  <c r="J1710" i="5"/>
  <c r="I1678" i="5"/>
  <c r="H1678" i="5"/>
  <c r="F1678" i="5"/>
  <c r="R1678" i="5"/>
  <c r="J1678" i="5"/>
  <c r="I1662" i="5"/>
  <c r="H1662" i="5"/>
  <c r="F1662" i="5"/>
  <c r="J1662" i="5"/>
  <c r="R1662" i="5"/>
  <c r="I1630" i="5"/>
  <c r="H1630" i="5"/>
  <c r="F1630" i="5"/>
  <c r="J1630" i="5"/>
  <c r="R1630" i="5"/>
  <c r="F1598" i="5"/>
  <c r="R1598" i="5"/>
  <c r="J1598" i="5"/>
  <c r="I1598" i="5"/>
  <c r="H1598" i="5"/>
  <c r="F1566" i="5"/>
  <c r="R1566" i="5"/>
  <c r="J1566" i="5"/>
  <c r="I1566" i="5"/>
  <c r="H1566" i="5"/>
  <c r="R1862" i="5"/>
  <c r="J1862" i="5"/>
  <c r="I1862" i="5"/>
  <c r="H1862" i="5"/>
  <c r="F1862" i="5"/>
  <c r="J1772" i="5"/>
  <c r="I1772" i="5"/>
  <c r="H1772" i="5"/>
  <c r="F1772" i="5"/>
  <c r="R1772" i="5"/>
  <c r="I1603" i="5"/>
  <c r="H1603" i="5"/>
  <c r="F1603" i="5"/>
  <c r="R1603" i="5"/>
  <c r="J1603" i="5"/>
  <c r="I1536" i="5"/>
  <c r="H1536" i="5"/>
  <c r="F1536" i="5"/>
  <c r="J1536" i="5"/>
  <c r="R1536" i="5"/>
  <c r="I1391" i="5"/>
  <c r="H1391" i="5"/>
  <c r="F1391" i="5"/>
  <c r="R1391" i="5"/>
  <c r="J1391" i="5"/>
  <c r="H1203" i="5"/>
  <c r="F1203" i="5"/>
  <c r="R1203" i="5"/>
  <c r="J1203" i="5"/>
  <c r="I1203" i="5"/>
  <c r="R1376" i="5"/>
  <c r="J1376" i="5"/>
  <c r="I1376" i="5"/>
  <c r="H1376" i="5"/>
  <c r="F1376" i="5"/>
  <c r="F1234" i="5"/>
  <c r="J1234" i="5"/>
  <c r="I1234" i="5"/>
  <c r="H1234" i="5"/>
  <c r="R1234" i="5"/>
  <c r="H1112" i="5"/>
  <c r="F1112" i="5"/>
  <c r="R1112" i="5"/>
  <c r="J1112" i="5"/>
  <c r="I1112" i="5"/>
  <c r="H1080" i="5"/>
  <c r="F1080" i="5"/>
  <c r="R1080" i="5"/>
  <c r="J1080" i="5"/>
  <c r="I1080" i="5"/>
  <c r="H1048" i="5"/>
  <c r="F1048" i="5"/>
  <c r="R1048" i="5"/>
  <c r="J1048" i="5"/>
  <c r="I1048" i="5"/>
  <c r="H1032" i="5"/>
  <c r="F1032" i="5"/>
  <c r="R1032" i="5"/>
  <c r="J1032" i="5"/>
  <c r="I1032" i="5"/>
  <c r="R1489" i="5"/>
  <c r="J1489" i="5"/>
  <c r="H1489" i="5"/>
  <c r="F1489" i="5"/>
  <c r="I1489"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R124" i="5"/>
  <c r="H2463" i="5"/>
  <c r="I2463" i="5"/>
  <c r="F2463" i="5"/>
  <c r="R2463" i="5"/>
  <c r="J2463" i="5"/>
  <c r="F68" i="6"/>
  <c r="F2323" i="5"/>
  <c r="J2323" i="5"/>
  <c r="R2323" i="5"/>
  <c r="I2323" i="5"/>
  <c r="H2323" i="5"/>
  <c r="I2300" i="5"/>
  <c r="J2300" i="5"/>
  <c r="H2300" i="5"/>
  <c r="F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R1822" i="5"/>
  <c r="I1822" i="5"/>
  <c r="J1822" i="5"/>
  <c r="H1822" i="5"/>
  <c r="F1822" i="5"/>
  <c r="I1841" i="5"/>
  <c r="F1841" i="5"/>
  <c r="H1841" i="5"/>
  <c r="R1841" i="5"/>
  <c r="J1841" i="5"/>
  <c r="H1775" i="5"/>
  <c r="F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R1348" i="5"/>
  <c r="F1348" i="5"/>
  <c r="I1348" i="5"/>
  <c r="H1348" i="5"/>
  <c r="J1348" i="5"/>
  <c r="F1370" i="5"/>
  <c r="R1370" i="5"/>
  <c r="I1370" i="5"/>
  <c r="H1370" i="5"/>
  <c r="J1370" i="5"/>
  <c r="J1473" i="5"/>
  <c r="H1473" i="5"/>
  <c r="F1473" i="5"/>
  <c r="I1473" i="5"/>
  <c r="R1473" i="5"/>
  <c r="H1400" i="5"/>
  <c r="F1400" i="5"/>
  <c r="R1400" i="5"/>
  <c r="J1400" i="5"/>
  <c r="I1400" i="5"/>
  <c r="I1327" i="5"/>
  <c r="H1327" i="5"/>
  <c r="R1327" i="5"/>
  <c r="J1327" i="5"/>
  <c r="F1327" i="5"/>
  <c r="H1072" i="5"/>
  <c r="F1072" i="5"/>
  <c r="R1072" i="5"/>
  <c r="I1072" i="5"/>
  <c r="J1072" i="5"/>
  <c r="H1008" i="5"/>
  <c r="F1008" i="5"/>
  <c r="R1008" i="5"/>
  <c r="J1008" i="5"/>
  <c r="I1008" i="5"/>
  <c r="H1100" i="5"/>
  <c r="F1100" i="5"/>
  <c r="R1100" i="5"/>
  <c r="J1100" i="5"/>
  <c r="I1100" i="5"/>
  <c r="J1017" i="5"/>
  <c r="I1017" i="5"/>
  <c r="H1017" i="5"/>
  <c r="R1017" i="5"/>
  <c r="F1017" i="5"/>
  <c r="J1129" i="5"/>
  <c r="I1129" i="5"/>
  <c r="H1129" i="5"/>
  <c r="R1129" i="5"/>
  <c r="F1129" i="5"/>
  <c r="J1113" i="5"/>
  <c r="I1113" i="5"/>
  <c r="H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H2406" i="5"/>
  <c r="R2406" i="5"/>
  <c r="J2406" i="5"/>
  <c r="I2406" i="5"/>
  <c r="J2440" i="5"/>
  <c r="R2440" i="5"/>
  <c r="I2440" i="5"/>
  <c r="H2440" i="5"/>
  <c r="F2440" i="5"/>
  <c r="F2485" i="5"/>
  <c r="R2485" i="5"/>
  <c r="J2485" i="5"/>
  <c r="I2485" i="5"/>
  <c r="H2485" i="5"/>
  <c r="J2444" i="5"/>
  <c r="I2444" i="5"/>
  <c r="H2444" i="5"/>
  <c r="R2444" i="5"/>
  <c r="F2444" i="5"/>
  <c r="J2362" i="5"/>
  <c r="H2362" i="5"/>
  <c r="F2362" i="5"/>
  <c r="R2362" i="5"/>
  <c r="I2362" i="5"/>
  <c r="R2416" i="5"/>
  <c r="J2416" i="5"/>
  <c r="I2416" i="5"/>
  <c r="H2416" i="5"/>
  <c r="F2416" i="5"/>
  <c r="R2428" i="5"/>
  <c r="J2428" i="5"/>
  <c r="I2428" i="5"/>
  <c r="H2428" i="5"/>
  <c r="F2428" i="5"/>
  <c r="I2411" i="5"/>
  <c r="H2411" i="5"/>
  <c r="F2411" i="5"/>
  <c r="R2411" i="5"/>
  <c r="J2411" i="5"/>
  <c r="J2332" i="5"/>
  <c r="I2332" i="5"/>
  <c r="H2332" i="5"/>
  <c r="F2332" i="5"/>
  <c r="R2332" i="5"/>
  <c r="J2336" i="5"/>
  <c r="I2336" i="5"/>
  <c r="H2336" i="5"/>
  <c r="R2336" i="5"/>
  <c r="F2336" i="5"/>
  <c r="I2296" i="5"/>
  <c r="H2296" i="5"/>
  <c r="R2296" i="5"/>
  <c r="J2296" i="5"/>
  <c r="F2296" i="5"/>
  <c r="H2246" i="5"/>
  <c r="F2246" i="5"/>
  <c r="R2246" i="5"/>
  <c r="J2246" i="5"/>
  <c r="I2246" i="5"/>
  <c r="J2208" i="5"/>
  <c r="R2208" i="5"/>
  <c r="I2208" i="5"/>
  <c r="H2208" i="5"/>
  <c r="F2208" i="5"/>
  <c r="R2298" i="5"/>
  <c r="I2298" i="5"/>
  <c r="J2298" i="5"/>
  <c r="H2298" i="5"/>
  <c r="F2298" i="5"/>
  <c r="I2304" i="5"/>
  <c r="H2304" i="5"/>
  <c r="R2304" i="5"/>
  <c r="J2304" i="5"/>
  <c r="F2304" i="5"/>
  <c r="H2234" i="5"/>
  <c r="F2234" i="5"/>
  <c r="R2234" i="5"/>
  <c r="J2234" i="5"/>
  <c r="I2234" i="5"/>
  <c r="H2242" i="5"/>
  <c r="F2242" i="5"/>
  <c r="R2242" i="5"/>
  <c r="J2242" i="5"/>
  <c r="I2242" i="5"/>
  <c r="R2140" i="5"/>
  <c r="J2140" i="5"/>
  <c r="I2140" i="5"/>
  <c r="H2140" i="5"/>
  <c r="F2140" i="5"/>
  <c r="J2124" i="5"/>
  <c r="I2124" i="5"/>
  <c r="H2124" i="5"/>
  <c r="R2124" i="5"/>
  <c r="F2124" i="5"/>
  <c r="F2110" i="5"/>
  <c r="I2110" i="5"/>
  <c r="H2110" i="5"/>
  <c r="R2110" i="5"/>
  <c r="J2110" i="5"/>
  <c r="F2094" i="5"/>
  <c r="I2094" i="5"/>
  <c r="H2094" i="5"/>
  <c r="R2094" i="5"/>
  <c r="J2094" i="5"/>
  <c r="J2235" i="5"/>
  <c r="I2235" i="5"/>
  <c r="H2235" i="5"/>
  <c r="R2235" i="5"/>
  <c r="F2235" i="5"/>
  <c r="J2278" i="5"/>
  <c r="I2278" i="5"/>
  <c r="H2278" i="5"/>
  <c r="F2278" i="5"/>
  <c r="R2278" i="5"/>
  <c r="I2071" i="5"/>
  <c r="H2071" i="5"/>
  <c r="F2071" i="5"/>
  <c r="R2071" i="5"/>
  <c r="J2071" i="5"/>
  <c r="R2052" i="5"/>
  <c r="J2052" i="5"/>
  <c r="H2052" i="5"/>
  <c r="F2052" i="5"/>
  <c r="I2052" i="5"/>
  <c r="F1864" i="5"/>
  <c r="R1864" i="5"/>
  <c r="J1864" i="5"/>
  <c r="H1864" i="5"/>
  <c r="I1864" i="5"/>
  <c r="R2030" i="5"/>
  <c r="J2030" i="5"/>
  <c r="I2030" i="5"/>
  <c r="H2030" i="5"/>
  <c r="F2030" i="5"/>
  <c r="I1857" i="5"/>
  <c r="H1857" i="5"/>
  <c r="F1857" i="5"/>
  <c r="R1857" i="5"/>
  <c r="J1857" i="5"/>
  <c r="R2010" i="5"/>
  <c r="J2010" i="5"/>
  <c r="I2010" i="5"/>
  <c r="H2010" i="5"/>
  <c r="F2010" i="5"/>
  <c r="R1990" i="5"/>
  <c r="J1990" i="5"/>
  <c r="I1990" i="5"/>
  <c r="H1990" i="5"/>
  <c r="F1990" i="5"/>
  <c r="R1866" i="5"/>
  <c r="J1866" i="5"/>
  <c r="I1866" i="5"/>
  <c r="H1866" i="5"/>
  <c r="F1866" i="5"/>
  <c r="R1870" i="5"/>
  <c r="J1870" i="5"/>
  <c r="I1870" i="5"/>
  <c r="H1870" i="5"/>
  <c r="F1870" i="5"/>
  <c r="R1854" i="5"/>
  <c r="J1854" i="5"/>
  <c r="I1854" i="5"/>
  <c r="H1854" i="5"/>
  <c r="F1854" i="5"/>
  <c r="H1795" i="5"/>
  <c r="F1795" i="5"/>
  <c r="R1795" i="5"/>
  <c r="J1795" i="5"/>
  <c r="I1795" i="5"/>
  <c r="R1831" i="5"/>
  <c r="H1831" i="5"/>
  <c r="F1831" i="5"/>
  <c r="J1831" i="5"/>
  <c r="I1831" i="5"/>
  <c r="R1733" i="5"/>
  <c r="H1733" i="5"/>
  <c r="F1733" i="5"/>
  <c r="J1733" i="5"/>
  <c r="I1733" i="5"/>
  <c r="I1718" i="5"/>
  <c r="H1718" i="5"/>
  <c r="F1718" i="5"/>
  <c r="R1718" i="5"/>
  <c r="J1718" i="5"/>
  <c r="I1702" i="5"/>
  <c r="H1702" i="5"/>
  <c r="F1702" i="5"/>
  <c r="R1702" i="5"/>
  <c r="J1702" i="5"/>
  <c r="I1686" i="5"/>
  <c r="H1686" i="5"/>
  <c r="F1686" i="5"/>
  <c r="J1686" i="5"/>
  <c r="R1686" i="5"/>
  <c r="I1670" i="5"/>
  <c r="H1670" i="5"/>
  <c r="F1670" i="5"/>
  <c r="R1670" i="5"/>
  <c r="J1670" i="5"/>
  <c r="I1654" i="5"/>
  <c r="H1654" i="5"/>
  <c r="F1654" i="5"/>
  <c r="J1654" i="5"/>
  <c r="R1654" i="5"/>
  <c r="I1638" i="5"/>
  <c r="H1638" i="5"/>
  <c r="F1638" i="5"/>
  <c r="R1638" i="5"/>
  <c r="J1638" i="5"/>
  <c r="F1622" i="5"/>
  <c r="R1622" i="5"/>
  <c r="J1622" i="5"/>
  <c r="I1622" i="5"/>
  <c r="H1622" i="5"/>
  <c r="F1606" i="5"/>
  <c r="R1606" i="5"/>
  <c r="J1606" i="5"/>
  <c r="I1606" i="5"/>
  <c r="H1606" i="5"/>
  <c r="F1590" i="5"/>
  <c r="R1590" i="5"/>
  <c r="J1590" i="5"/>
  <c r="I1590" i="5"/>
  <c r="H1590" i="5"/>
  <c r="F1574" i="5"/>
  <c r="R1574" i="5"/>
  <c r="J1574" i="5"/>
  <c r="I1574" i="5"/>
  <c r="H1574" i="5"/>
  <c r="F1558" i="5"/>
  <c r="R1558" i="5"/>
  <c r="J1558" i="5"/>
  <c r="I1558" i="5"/>
  <c r="H1558" i="5"/>
  <c r="R1931" i="5"/>
  <c r="J1931" i="5"/>
  <c r="I1931" i="5"/>
  <c r="H1931" i="5"/>
  <c r="F1931" i="5"/>
  <c r="H1759" i="5"/>
  <c r="F1759" i="5"/>
  <c r="R1759" i="5"/>
  <c r="J1759" i="5"/>
  <c r="I1759" i="5"/>
  <c r="R1839" i="5"/>
  <c r="J1839" i="5"/>
  <c r="I1839" i="5"/>
  <c r="H1839" i="5"/>
  <c r="F1839" i="5"/>
  <c r="R1707" i="5"/>
  <c r="J1707" i="5"/>
  <c r="I1707" i="5"/>
  <c r="H1707" i="5"/>
  <c r="F1707" i="5"/>
  <c r="R1635" i="5"/>
  <c r="J1635" i="5"/>
  <c r="I1635" i="5"/>
  <c r="H1635" i="5"/>
  <c r="F1635" i="5"/>
  <c r="R1835" i="5"/>
  <c r="J1835" i="5"/>
  <c r="I1835" i="5"/>
  <c r="H1835" i="5"/>
  <c r="F1835" i="5"/>
  <c r="R1723" i="5"/>
  <c r="J1723" i="5"/>
  <c r="I1723" i="5"/>
  <c r="H1723" i="5"/>
  <c r="F1723" i="5"/>
  <c r="R1832" i="5"/>
  <c r="J1832" i="5"/>
  <c r="I1832" i="5"/>
  <c r="H1832" i="5"/>
  <c r="F1832" i="5"/>
  <c r="I1547" i="5"/>
  <c r="H1547" i="5"/>
  <c r="F1547" i="5"/>
  <c r="R1547" i="5"/>
  <c r="J1547" i="5"/>
  <c r="I1810" i="5"/>
  <c r="R1810" i="5"/>
  <c r="J1810" i="5"/>
  <c r="H1810" i="5"/>
  <c r="F1810" i="5"/>
  <c r="J1429" i="5"/>
  <c r="I1429" i="5"/>
  <c r="H1429" i="5"/>
  <c r="R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I1440" i="5"/>
  <c r="J1440" i="5"/>
  <c r="R1440" i="5"/>
  <c r="R1505" i="5"/>
  <c r="J1505" i="5"/>
  <c r="H1505" i="5"/>
  <c r="F1505" i="5"/>
  <c r="I1505" i="5"/>
  <c r="I1343" i="5"/>
  <c r="F1343" i="5"/>
  <c r="R1343" i="5"/>
  <c r="J1343" i="5"/>
  <c r="H1343" i="5"/>
  <c r="H1223" i="5"/>
  <c r="J1223" i="5"/>
  <c r="R1223" i="5"/>
  <c r="I1223" i="5"/>
  <c r="F1223" i="5"/>
  <c r="R1616" i="5"/>
  <c r="J1616" i="5"/>
  <c r="I1616" i="5"/>
  <c r="H1616" i="5"/>
  <c r="F1616" i="5"/>
  <c r="H1247" i="5"/>
  <c r="I1247" i="5"/>
  <c r="F1247" i="5"/>
  <c r="R1247" i="5"/>
  <c r="J1247" i="5"/>
  <c r="H1460" i="5"/>
  <c r="F1460" i="5"/>
  <c r="J1460" i="5"/>
  <c r="I1460" i="5"/>
  <c r="R1460" i="5"/>
  <c r="R1750" i="5"/>
  <c r="I1750" i="5"/>
  <c r="J1750" i="5"/>
  <c r="H1750" i="5"/>
  <c r="F1750" i="5"/>
  <c r="H1251" i="5"/>
  <c r="R1251" i="5"/>
  <c r="J1251" i="5"/>
  <c r="I1251" i="5"/>
  <c r="F1251" i="5"/>
  <c r="R1568" i="5"/>
  <c r="J1568" i="5"/>
  <c r="I1568" i="5"/>
  <c r="H1568" i="5"/>
  <c r="F1568" i="5"/>
  <c r="H1060" i="5"/>
  <c r="F1060" i="5"/>
  <c r="R1060" i="5"/>
  <c r="I1060" i="5"/>
  <c r="J1060" i="5"/>
  <c r="I1315" i="5"/>
  <c r="H1315" i="5"/>
  <c r="R1315" i="5"/>
  <c r="J1315" i="5"/>
  <c r="F1315" i="5"/>
  <c r="I1283" i="5"/>
  <c r="H1283" i="5"/>
  <c r="R1283" i="5"/>
  <c r="J1283" i="5"/>
  <c r="F1283" i="5"/>
  <c r="I1484" i="5"/>
  <c r="H1484" i="5"/>
  <c r="F1484" i="5"/>
  <c r="J1484" i="5"/>
  <c r="R1484" i="5"/>
  <c r="J1180" i="5"/>
  <c r="I1180" i="5"/>
  <c r="R1180" i="5"/>
  <c r="H1180" i="5"/>
  <c r="F1180" i="5"/>
  <c r="H996" i="5"/>
  <c r="F996" i="5"/>
  <c r="R996" i="5"/>
  <c r="J996" i="5"/>
  <c r="I996" i="5"/>
  <c r="F952" i="5"/>
  <c r="R952" i="5"/>
  <c r="J952" i="5"/>
  <c r="I952" i="5"/>
  <c r="H952" i="5"/>
  <c r="F976" i="5"/>
  <c r="R976" i="5"/>
  <c r="J976" i="5"/>
  <c r="I976" i="5"/>
  <c r="H976" i="5"/>
  <c r="H1020" i="5"/>
  <c r="F1020" i="5"/>
  <c r="R1020" i="5"/>
  <c r="J1020" i="5"/>
  <c r="I1020"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J1097" i="5"/>
  <c r="I1097" i="5"/>
  <c r="H1097" i="5"/>
  <c r="R1097" i="5"/>
  <c r="F1097"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R316" i="5"/>
  <c r="R172" i="5"/>
  <c r="R160" i="5"/>
  <c r="R180" i="5"/>
  <c r="R100" i="5"/>
  <c r="R312" i="5"/>
  <c r="R188"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R1955" i="5"/>
  <c r="J1955" i="5"/>
  <c r="I1955" i="5"/>
  <c r="H1955" i="5"/>
  <c r="F1955" i="5"/>
  <c r="R1951" i="5"/>
  <c r="J1951" i="5"/>
  <c r="I1951" i="5"/>
  <c r="H1951" i="5"/>
  <c r="F1951" i="5"/>
  <c r="F1809" i="5"/>
  <c r="R1809" i="5"/>
  <c r="J1809" i="5"/>
  <c r="I1809" i="5"/>
  <c r="H1809" i="5"/>
  <c r="H1807" i="5"/>
  <c r="F1807" i="5"/>
  <c r="R1807" i="5"/>
  <c r="J1807" i="5"/>
  <c r="I1807" i="5"/>
  <c r="I1736" i="5"/>
  <c r="R1736" i="5"/>
  <c r="J1736" i="5"/>
  <c r="H1736" i="5"/>
  <c r="F1736" i="5"/>
  <c r="R1715" i="5"/>
  <c r="J1715" i="5"/>
  <c r="I1715" i="5"/>
  <c r="H1715" i="5"/>
  <c r="F1715" i="5"/>
  <c r="H2455" i="5"/>
  <c r="I2455" i="5"/>
  <c r="F2455" i="5"/>
  <c r="R2455" i="5"/>
  <c r="J2455" i="5"/>
  <c r="I1623" i="5"/>
  <c r="H1623" i="5"/>
  <c r="F1623" i="5"/>
  <c r="R1623" i="5"/>
  <c r="J1623" i="5"/>
  <c r="I1516" i="5"/>
  <c r="H1516" i="5"/>
  <c r="F1516" i="5"/>
  <c r="J1516" i="5"/>
  <c r="R1516" i="5"/>
  <c r="F1390" i="5"/>
  <c r="R1390" i="5"/>
  <c r="J1390" i="5"/>
  <c r="I1390" i="5"/>
  <c r="H1390" i="5"/>
  <c r="H1404" i="5"/>
  <c r="R1404" i="5"/>
  <c r="J1404" i="5"/>
  <c r="I1404" i="5"/>
  <c r="F1404" i="5"/>
  <c r="F1354" i="5"/>
  <c r="R1354" i="5"/>
  <c r="I1354" i="5"/>
  <c r="H1354" i="5"/>
  <c r="J1354" i="5"/>
  <c r="H1183" i="5"/>
  <c r="I1183" i="5"/>
  <c r="F1183" i="5"/>
  <c r="R1183" i="5"/>
  <c r="J1183" i="5"/>
  <c r="I1263" i="5"/>
  <c r="H1263" i="5"/>
  <c r="R1263" i="5"/>
  <c r="J1263" i="5"/>
  <c r="F1263" i="5"/>
  <c r="F1254" i="5"/>
  <c r="R1254" i="5"/>
  <c r="J1254" i="5"/>
  <c r="I1254" i="5"/>
  <c r="H1254" i="5"/>
  <c r="H1036" i="5"/>
  <c r="F1036" i="5"/>
  <c r="R1036" i="5"/>
  <c r="J1036" i="5"/>
  <c r="I1036" i="5"/>
  <c r="H1167" i="5"/>
  <c r="R1167" i="5"/>
  <c r="J1167" i="5"/>
  <c r="F1167" i="5"/>
  <c r="I1167"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R148" i="5"/>
  <c r="H2471" i="5"/>
  <c r="I2471" i="5"/>
  <c r="F2471" i="5"/>
  <c r="R2471" i="5"/>
  <c r="J2471" i="5"/>
  <c r="H2486" i="5"/>
  <c r="I2486" i="5"/>
  <c r="F2486" i="5"/>
  <c r="R2486" i="5"/>
  <c r="J2486" i="5"/>
  <c r="F2402" i="5"/>
  <c r="I2402" i="5"/>
  <c r="H2402" i="5"/>
  <c r="R2402" i="5"/>
  <c r="J2402" i="5"/>
  <c r="H2478" i="5"/>
  <c r="I2478" i="5"/>
  <c r="F2478" i="5"/>
  <c r="R2478" i="5"/>
  <c r="J2478" i="5"/>
  <c r="H2490" i="5"/>
  <c r="F2490" i="5"/>
  <c r="I2490" i="5"/>
  <c r="R2490" i="5"/>
  <c r="J2490" i="5"/>
  <c r="H2343" i="5"/>
  <c r="F2343" i="5"/>
  <c r="R2343" i="5"/>
  <c r="J2343" i="5"/>
  <c r="I2343" i="5"/>
  <c r="H2335" i="5"/>
  <c r="F2335" i="5"/>
  <c r="R2335" i="5"/>
  <c r="I2335" i="5"/>
  <c r="J2335" i="5"/>
  <c r="J2328" i="5"/>
  <c r="I2328" i="5"/>
  <c r="H2328" i="5"/>
  <c r="R2328" i="5"/>
  <c r="F2328" i="5"/>
  <c r="I2283" i="5"/>
  <c r="R2283" i="5"/>
  <c r="J2283" i="5"/>
  <c r="H2283" i="5"/>
  <c r="F2283" i="5"/>
  <c r="H2250" i="5"/>
  <c r="F2250" i="5"/>
  <c r="R2250" i="5"/>
  <c r="I2250" i="5"/>
  <c r="J2250" i="5"/>
  <c r="I2167" i="5"/>
  <c r="H2167" i="5"/>
  <c r="F2167" i="5"/>
  <c r="R2167" i="5"/>
  <c r="J2167" i="5"/>
  <c r="F2058" i="5"/>
  <c r="R2058" i="5"/>
  <c r="J2058" i="5"/>
  <c r="I2058" i="5"/>
  <c r="H2058" i="5"/>
  <c r="H2211" i="5"/>
  <c r="R2211" i="5"/>
  <c r="J2211" i="5"/>
  <c r="I2211" i="5"/>
  <c r="F2211" i="5"/>
  <c r="J2120" i="5"/>
  <c r="I2120" i="5"/>
  <c r="H2120" i="5"/>
  <c r="R2120" i="5"/>
  <c r="F2120" i="5"/>
  <c r="I2095" i="5"/>
  <c r="H2095" i="5"/>
  <c r="F2095" i="5"/>
  <c r="R2095" i="5"/>
  <c r="J2095" i="5"/>
  <c r="I2175" i="5"/>
  <c r="H2175" i="5"/>
  <c r="F2175" i="5"/>
  <c r="R2175" i="5"/>
  <c r="J2175" i="5"/>
  <c r="I1946" i="5"/>
  <c r="H1946" i="5"/>
  <c r="F1946" i="5"/>
  <c r="R1946" i="5"/>
  <c r="J1946" i="5"/>
  <c r="F1860" i="5"/>
  <c r="R1860" i="5"/>
  <c r="J1860" i="5"/>
  <c r="I1860" i="5"/>
  <c r="H1860" i="5"/>
  <c r="I1853" i="5"/>
  <c r="H1853" i="5"/>
  <c r="F1853" i="5"/>
  <c r="R1853" i="5"/>
  <c r="J1853" i="5"/>
  <c r="I1930" i="5"/>
  <c r="H1930" i="5"/>
  <c r="F1930" i="5"/>
  <c r="R1930" i="5"/>
  <c r="J1930" i="5"/>
  <c r="I1918" i="5"/>
  <c r="H1918" i="5"/>
  <c r="F1918" i="5"/>
  <c r="R1918" i="5"/>
  <c r="J1918" i="5"/>
  <c r="R1834" i="5"/>
  <c r="I1834" i="5"/>
  <c r="F1834" i="5"/>
  <c r="J1834" i="5"/>
  <c r="H1834" i="5"/>
  <c r="H1791" i="5"/>
  <c r="F1791" i="5"/>
  <c r="R1791" i="5"/>
  <c r="J1791" i="5"/>
  <c r="I1791" i="5"/>
  <c r="I1814" i="5"/>
  <c r="H1814" i="5"/>
  <c r="F1814" i="5"/>
  <c r="J1814" i="5"/>
  <c r="R1814" i="5"/>
  <c r="R1982" i="5"/>
  <c r="J1982" i="5"/>
  <c r="I1982" i="5"/>
  <c r="H1982" i="5"/>
  <c r="F1982" i="5"/>
  <c r="R2002" i="5"/>
  <c r="J2002" i="5"/>
  <c r="I2002" i="5"/>
  <c r="H2002" i="5"/>
  <c r="F2002" i="5"/>
  <c r="I1746" i="5"/>
  <c r="R1746" i="5"/>
  <c r="J1746" i="5"/>
  <c r="H1746" i="5"/>
  <c r="F1746" i="5"/>
  <c r="R2014" i="5"/>
  <c r="J2014" i="5"/>
  <c r="I2014" i="5"/>
  <c r="H2014" i="5"/>
  <c r="F2014" i="5"/>
  <c r="R1639" i="5"/>
  <c r="J1639" i="5"/>
  <c r="I1639" i="5"/>
  <c r="H1639" i="5"/>
  <c r="F1639" i="5"/>
  <c r="R1858" i="5"/>
  <c r="J1858" i="5"/>
  <c r="I1858" i="5"/>
  <c r="H1858" i="5"/>
  <c r="F1858" i="5"/>
  <c r="R1731" i="5"/>
  <c r="J1731" i="5"/>
  <c r="I1731" i="5"/>
  <c r="H1731" i="5"/>
  <c r="F1731" i="5"/>
  <c r="J1417" i="5"/>
  <c r="I1417" i="5"/>
  <c r="R1417" i="5"/>
  <c r="H1417" i="5"/>
  <c r="F1417" i="5"/>
  <c r="R1734" i="5"/>
  <c r="J1734" i="5"/>
  <c r="I1734" i="5"/>
  <c r="H1734" i="5"/>
  <c r="F1734" i="5"/>
  <c r="J1437" i="5"/>
  <c r="I1437" i="5"/>
  <c r="H1437" i="5"/>
  <c r="F1437" i="5"/>
  <c r="R1437" i="5"/>
  <c r="I1607" i="5"/>
  <c r="H1607" i="5"/>
  <c r="F1607" i="5"/>
  <c r="R1607" i="5"/>
  <c r="J1607" i="5"/>
  <c r="I1575" i="5"/>
  <c r="H1575" i="5"/>
  <c r="F1575" i="5"/>
  <c r="R1575" i="5"/>
  <c r="J1575" i="5"/>
  <c r="F1358" i="5"/>
  <c r="R1358" i="5"/>
  <c r="J1358" i="5"/>
  <c r="H1358" i="5"/>
  <c r="I1358" i="5"/>
  <c r="R1340" i="5"/>
  <c r="F1340" i="5"/>
  <c r="H1340" i="5"/>
  <c r="J1340" i="5"/>
  <c r="I1340" i="5"/>
  <c r="I1500" i="5"/>
  <c r="H1500" i="5"/>
  <c r="F1500" i="5"/>
  <c r="J1500" i="5"/>
  <c r="R1500" i="5"/>
  <c r="F1362" i="5"/>
  <c r="R1362" i="5"/>
  <c r="I1362" i="5"/>
  <c r="H1362" i="5"/>
  <c r="J1362" i="5"/>
  <c r="F1382" i="5"/>
  <c r="R1382" i="5"/>
  <c r="J1382" i="5"/>
  <c r="I1382" i="5"/>
  <c r="H1382" i="5"/>
  <c r="H1191" i="5"/>
  <c r="J1191" i="5"/>
  <c r="F1191" i="5"/>
  <c r="I1191" i="5"/>
  <c r="R1191" i="5"/>
  <c r="J1441" i="5"/>
  <c r="H1441" i="5"/>
  <c r="F1441" i="5"/>
  <c r="R1441" i="5"/>
  <c r="I1441" i="5"/>
  <c r="R1141" i="5"/>
  <c r="H1141" i="5"/>
  <c r="F1141" i="5"/>
  <c r="I1141" i="5"/>
  <c r="J1141" i="5"/>
  <c r="R1388" i="5"/>
  <c r="J1388" i="5"/>
  <c r="I1388" i="5"/>
  <c r="H1388" i="5"/>
  <c r="F1388" i="5"/>
  <c r="I1311" i="5"/>
  <c r="H1311" i="5"/>
  <c r="R1311" i="5"/>
  <c r="J1311" i="5"/>
  <c r="F1311" i="5"/>
  <c r="I1279" i="5"/>
  <c r="H1279" i="5"/>
  <c r="R1279" i="5"/>
  <c r="J1279" i="5"/>
  <c r="F1279" i="5"/>
  <c r="H984" i="5"/>
  <c r="F984" i="5"/>
  <c r="R984" i="5"/>
  <c r="J984" i="5"/>
  <c r="I984" i="5"/>
  <c r="R1600" i="5"/>
  <c r="J1600" i="5"/>
  <c r="I1600" i="5"/>
  <c r="H1600" i="5"/>
  <c r="F1600" i="5"/>
  <c r="F1170" i="5"/>
  <c r="J1170" i="5"/>
  <c r="I1170" i="5"/>
  <c r="H1170" i="5"/>
  <c r="R1170" i="5"/>
  <c r="H1104" i="5"/>
  <c r="F1104" i="5"/>
  <c r="R1104" i="5"/>
  <c r="I1104" i="5"/>
  <c r="J1104" i="5"/>
  <c r="H1040" i="5"/>
  <c r="F1040" i="5"/>
  <c r="R1040" i="5"/>
  <c r="I1040" i="5"/>
  <c r="J1040" i="5"/>
  <c r="F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R1188" i="5"/>
  <c r="I1144" i="5"/>
  <c r="R1144" i="5"/>
  <c r="J1144" i="5"/>
  <c r="H1144" i="5"/>
  <c r="F1144" i="5"/>
  <c r="R898" i="5"/>
  <c r="I898" i="5"/>
  <c r="H898" i="5"/>
  <c r="F898" i="5"/>
  <c r="J898" i="5"/>
  <c r="R903" i="5"/>
  <c r="I903" i="5"/>
  <c r="J903" i="5"/>
  <c r="H903" i="5"/>
  <c r="F903" i="5"/>
  <c r="R886" i="5"/>
  <c r="I886" i="5"/>
  <c r="J886" i="5"/>
  <c r="H886" i="5"/>
  <c r="F886" i="5"/>
  <c r="I661" i="5"/>
  <c r="H661" i="5"/>
  <c r="F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R164" i="5"/>
  <c r="R339" i="5"/>
  <c r="H339" i="5"/>
  <c r="F339" i="5"/>
  <c r="J339" i="5"/>
  <c r="I339" i="5"/>
  <c r="R152" i="5"/>
  <c r="R168" i="5"/>
  <c r="F2430" i="5"/>
  <c r="R2430" i="5"/>
  <c r="J2430" i="5"/>
  <c r="I2430" i="5"/>
  <c r="H2430" i="5"/>
  <c r="D6" i="6"/>
  <c r="H2435" i="5"/>
  <c r="I2435" i="5"/>
  <c r="F2435" i="5"/>
  <c r="R2435" i="5"/>
  <c r="J2435" i="5"/>
  <c r="J2496" i="5"/>
  <c r="I2496" i="5"/>
  <c r="H2496" i="5"/>
  <c r="R2496" i="5"/>
  <c r="F2496" i="5"/>
  <c r="I2415" i="5"/>
  <c r="H2415" i="5"/>
  <c r="F2415" i="5"/>
  <c r="R2415" i="5"/>
  <c r="J2415" i="5"/>
  <c r="H2391" i="5"/>
  <c r="R2391" i="5"/>
  <c r="J2391" i="5"/>
  <c r="I2391" i="5"/>
  <c r="F2391" i="5"/>
  <c r="F2352" i="5"/>
  <c r="R2352" i="5"/>
  <c r="J2352" i="5"/>
  <c r="I2352" i="5"/>
  <c r="H2352" i="5"/>
  <c r="H2377" i="5"/>
  <c r="F2377" i="5"/>
  <c r="J2377" i="5"/>
  <c r="I2377" i="5"/>
  <c r="R2377" i="5"/>
  <c r="H2361" i="5"/>
  <c r="F2361" i="5"/>
  <c r="J2361" i="5"/>
  <c r="I2361" i="5"/>
  <c r="R2361" i="5"/>
  <c r="R2275" i="5"/>
  <c r="J2275" i="5"/>
  <c r="H2275" i="5"/>
  <c r="I2275" i="5"/>
  <c r="F2275" i="5"/>
  <c r="J2384" i="5"/>
  <c r="I2384" i="5"/>
  <c r="R2384" i="5"/>
  <c r="H2384" i="5"/>
  <c r="F2384" i="5"/>
  <c r="H2230" i="5"/>
  <c r="F2230" i="5"/>
  <c r="R2230" i="5"/>
  <c r="J2230" i="5"/>
  <c r="I2230" i="5"/>
  <c r="J2231" i="5"/>
  <c r="I2231" i="5"/>
  <c r="H2231" i="5"/>
  <c r="F2231" i="5"/>
  <c r="R2231" i="5"/>
  <c r="J2183" i="5"/>
  <c r="I2183" i="5"/>
  <c r="H2183" i="5"/>
  <c r="F2183" i="5"/>
  <c r="R2183" i="5"/>
  <c r="I2163" i="5"/>
  <c r="H2163" i="5"/>
  <c r="F2163" i="5"/>
  <c r="R2163" i="5"/>
  <c r="J2163" i="5"/>
  <c r="F2106" i="5"/>
  <c r="I2106" i="5"/>
  <c r="H2106" i="5"/>
  <c r="R2106" i="5"/>
  <c r="J2106" i="5"/>
  <c r="F2090" i="5"/>
  <c r="I2090" i="5"/>
  <c r="H2090" i="5"/>
  <c r="R2090" i="5"/>
  <c r="J2090" i="5"/>
  <c r="I2147" i="5"/>
  <c r="H2147" i="5"/>
  <c r="F2147" i="5"/>
  <c r="R2147" i="5"/>
  <c r="J2147" i="5"/>
  <c r="R2144" i="5"/>
  <c r="J2144" i="5"/>
  <c r="I2144" i="5"/>
  <c r="H2144" i="5"/>
  <c r="F2144" i="5"/>
  <c r="I2107" i="5"/>
  <c r="H2107" i="5"/>
  <c r="F2107" i="5"/>
  <c r="R2107" i="5"/>
  <c r="J2107" i="5"/>
  <c r="R2068" i="5"/>
  <c r="J2068" i="5"/>
  <c r="H2068" i="5"/>
  <c r="F2068" i="5"/>
  <c r="I2068" i="5"/>
  <c r="I2049" i="5"/>
  <c r="H2049" i="5"/>
  <c r="F2049" i="5"/>
  <c r="R2049" i="5"/>
  <c r="J2049" i="5"/>
  <c r="R1962" i="5"/>
  <c r="J1962" i="5"/>
  <c r="I1962" i="5"/>
  <c r="H1962" i="5"/>
  <c r="F1962" i="5"/>
  <c r="F1856" i="5"/>
  <c r="J1856" i="5"/>
  <c r="H1856" i="5"/>
  <c r="R1856" i="5"/>
  <c r="I1856" i="5"/>
  <c r="I1869" i="5"/>
  <c r="H1869" i="5"/>
  <c r="F1869" i="5"/>
  <c r="R1869" i="5"/>
  <c r="J1869" i="5"/>
  <c r="I1849" i="5"/>
  <c r="H1849" i="5"/>
  <c r="F1849" i="5"/>
  <c r="R1849" i="5"/>
  <c r="J1849" i="5"/>
  <c r="I1829" i="5"/>
  <c r="F1829" i="5"/>
  <c r="R1829" i="5"/>
  <c r="J1829" i="5"/>
  <c r="H1829" i="5"/>
  <c r="H1787" i="5"/>
  <c r="F1787" i="5"/>
  <c r="R1787" i="5"/>
  <c r="J1787" i="5"/>
  <c r="I1787" i="5"/>
  <c r="I1922" i="5"/>
  <c r="H1922" i="5"/>
  <c r="F1922" i="5"/>
  <c r="R1922" i="5"/>
  <c r="J1922" i="5"/>
  <c r="J1896" i="5"/>
  <c r="R1896" i="5"/>
  <c r="I1896" i="5"/>
  <c r="H1896" i="5"/>
  <c r="F1896" i="5"/>
  <c r="R1743" i="5"/>
  <c r="J1743" i="5"/>
  <c r="I1743" i="5"/>
  <c r="F1743" i="5"/>
  <c r="H1743" i="5"/>
  <c r="I1740" i="5"/>
  <c r="F1740" i="5"/>
  <c r="R1740" i="5"/>
  <c r="H1740" i="5"/>
  <c r="J1740" i="5"/>
  <c r="I1730" i="5"/>
  <c r="H1730" i="5"/>
  <c r="F1730" i="5"/>
  <c r="R1730" i="5"/>
  <c r="J1730" i="5"/>
  <c r="I1714" i="5"/>
  <c r="H1714" i="5"/>
  <c r="F1714" i="5"/>
  <c r="R1714" i="5"/>
  <c r="J1714" i="5"/>
  <c r="I1698" i="5"/>
  <c r="H1698" i="5"/>
  <c r="F1698" i="5"/>
  <c r="R1698" i="5"/>
  <c r="J1698" i="5"/>
  <c r="I1682" i="5"/>
  <c r="H1682" i="5"/>
  <c r="F1682" i="5"/>
  <c r="R1682" i="5"/>
  <c r="J1682" i="5"/>
  <c r="I1666" i="5"/>
  <c r="H1666" i="5"/>
  <c r="F1666" i="5"/>
  <c r="R1666" i="5"/>
  <c r="J1666" i="5"/>
  <c r="I1650" i="5"/>
  <c r="H1650" i="5"/>
  <c r="F1650" i="5"/>
  <c r="R1650" i="5"/>
  <c r="J1650" i="5"/>
  <c r="I1634" i="5"/>
  <c r="H1634" i="5"/>
  <c r="F1634" i="5"/>
  <c r="R1634" i="5"/>
  <c r="J1634" i="5"/>
  <c r="F1618" i="5"/>
  <c r="R1618" i="5"/>
  <c r="J1618" i="5"/>
  <c r="I1618" i="5"/>
  <c r="H1618" i="5"/>
  <c r="F1602" i="5"/>
  <c r="R1602" i="5"/>
  <c r="J1602" i="5"/>
  <c r="I1602" i="5"/>
  <c r="H1602" i="5"/>
  <c r="F1586" i="5"/>
  <c r="R1586" i="5"/>
  <c r="J1586" i="5"/>
  <c r="I1586" i="5"/>
  <c r="H1586" i="5"/>
  <c r="F1570" i="5"/>
  <c r="R1570" i="5"/>
  <c r="J1570" i="5"/>
  <c r="I1570" i="5"/>
  <c r="H1570" i="5"/>
  <c r="F1554" i="5"/>
  <c r="R1554" i="5"/>
  <c r="J1554" i="5"/>
  <c r="I1554" i="5"/>
  <c r="H1554" i="5"/>
  <c r="R1850" i="5"/>
  <c r="J1850" i="5"/>
  <c r="I1850" i="5"/>
  <c r="H1850" i="5"/>
  <c r="F1850" i="5"/>
  <c r="R1643" i="5"/>
  <c r="J1643" i="5"/>
  <c r="I1643" i="5"/>
  <c r="H1643" i="5"/>
  <c r="F1643" i="5"/>
  <c r="H1767" i="5"/>
  <c r="F1767" i="5"/>
  <c r="R1767" i="5"/>
  <c r="J1767" i="5"/>
  <c r="I1767" i="5"/>
  <c r="R1695" i="5"/>
  <c r="J1695" i="5"/>
  <c r="I1695" i="5"/>
  <c r="H1695" i="5"/>
  <c r="F1695" i="5"/>
  <c r="R1631" i="5"/>
  <c r="J1631" i="5"/>
  <c r="I1631" i="5"/>
  <c r="H1631" i="5"/>
  <c r="F1631" i="5"/>
  <c r="J1760" i="5"/>
  <c r="I1760" i="5"/>
  <c r="H1760" i="5"/>
  <c r="R1760" i="5"/>
  <c r="F1760" i="5"/>
  <c r="R1683" i="5"/>
  <c r="J1683" i="5"/>
  <c r="I1683" i="5"/>
  <c r="H1683" i="5"/>
  <c r="F1683" i="5"/>
  <c r="I1540" i="5"/>
  <c r="H1540" i="5"/>
  <c r="F1540" i="5"/>
  <c r="R1540" i="5"/>
  <c r="J1540" i="5"/>
  <c r="J1433" i="5"/>
  <c r="I1433" i="5"/>
  <c r="H1433" i="5"/>
  <c r="R1433" i="5"/>
  <c r="F1433" i="5"/>
  <c r="J1425" i="5"/>
  <c r="I1425" i="5"/>
  <c r="H1425" i="5"/>
  <c r="R1425" i="5"/>
  <c r="F1425" i="5"/>
  <c r="I1595" i="5"/>
  <c r="H1595" i="5"/>
  <c r="F1595" i="5"/>
  <c r="R1595" i="5"/>
  <c r="J1595" i="5"/>
  <c r="I1563" i="5"/>
  <c r="H1563" i="5"/>
  <c r="F1563" i="5"/>
  <c r="R1563" i="5"/>
  <c r="J1563" i="5"/>
  <c r="H1472" i="5"/>
  <c r="F1472" i="5"/>
  <c r="I1472" i="5"/>
  <c r="R1472" i="5"/>
  <c r="J1472" i="5"/>
  <c r="H1444" i="5"/>
  <c r="F1444" i="5"/>
  <c r="J1444" i="5"/>
  <c r="I1444" i="5"/>
  <c r="R1444" i="5"/>
  <c r="F1415" i="5"/>
  <c r="R1415" i="5"/>
  <c r="J1415" i="5"/>
  <c r="I1415" i="5"/>
  <c r="H1415" i="5"/>
  <c r="I1359" i="5"/>
  <c r="H1359" i="5"/>
  <c r="R1359" i="5"/>
  <c r="F1359" i="5"/>
  <c r="J1359" i="5"/>
  <c r="H1420" i="5"/>
  <c r="R1420" i="5"/>
  <c r="F1420" i="5"/>
  <c r="J1420" i="5"/>
  <c r="I1420" i="5"/>
  <c r="R1576" i="5"/>
  <c r="J1576" i="5"/>
  <c r="I1576" i="5"/>
  <c r="H1576" i="5"/>
  <c r="F1576" i="5"/>
  <c r="H1428" i="5"/>
  <c r="R1428" i="5"/>
  <c r="F1428" i="5"/>
  <c r="J1428" i="5"/>
  <c r="I1428" i="5"/>
  <c r="H1159" i="5"/>
  <c r="J1159" i="5"/>
  <c r="R1159" i="5"/>
  <c r="I1159" i="5"/>
  <c r="F1159" i="5"/>
  <c r="H1150" i="5"/>
  <c r="F1150" i="5"/>
  <c r="R1150" i="5"/>
  <c r="I1150" i="5"/>
  <c r="J1150" i="5"/>
  <c r="H1239" i="5"/>
  <c r="R1239" i="5"/>
  <c r="J1239" i="5"/>
  <c r="I1239" i="5"/>
  <c r="F1239" i="5"/>
  <c r="H1175" i="5"/>
  <c r="R1175" i="5"/>
  <c r="J1175" i="5"/>
  <c r="I1175" i="5"/>
  <c r="F1175" i="5"/>
  <c r="R1556" i="5"/>
  <c r="J1556" i="5"/>
  <c r="I1556" i="5"/>
  <c r="H1556" i="5"/>
  <c r="F1556" i="5"/>
  <c r="H1076" i="5"/>
  <c r="F1076" i="5"/>
  <c r="R1076" i="5"/>
  <c r="I1076" i="5"/>
  <c r="J1076" i="5"/>
  <c r="I1307" i="5"/>
  <c r="H1307" i="5"/>
  <c r="R1307" i="5"/>
  <c r="J1307" i="5"/>
  <c r="F1307" i="5"/>
  <c r="I1275" i="5"/>
  <c r="H1275" i="5"/>
  <c r="R1275" i="5"/>
  <c r="J1275" i="5"/>
  <c r="F1275" i="5"/>
  <c r="J1457" i="5"/>
  <c r="H1457" i="5"/>
  <c r="F1457" i="5"/>
  <c r="R1457" i="5"/>
  <c r="I1457" i="5"/>
  <c r="H1000" i="5"/>
  <c r="F1000" i="5"/>
  <c r="R1000" i="5"/>
  <c r="I1000" i="5"/>
  <c r="J1000" i="5"/>
  <c r="F1334" i="5"/>
  <c r="R1334" i="5"/>
  <c r="J1334" i="5"/>
  <c r="I1334" i="5"/>
  <c r="H1334" i="5"/>
  <c r="F1326" i="5"/>
  <c r="R1326" i="5"/>
  <c r="J1326" i="5"/>
  <c r="I1326" i="5"/>
  <c r="H1326" i="5"/>
  <c r="F1318" i="5"/>
  <c r="R1318" i="5"/>
  <c r="J1318" i="5"/>
  <c r="I1318" i="5"/>
  <c r="H1318" i="5"/>
  <c r="F1310" i="5"/>
  <c r="R1310" i="5"/>
  <c r="J1310" i="5"/>
  <c r="I1310" i="5"/>
  <c r="H1310" i="5"/>
  <c r="F1302" i="5"/>
  <c r="R1302" i="5"/>
  <c r="J1302" i="5"/>
  <c r="I1302" i="5"/>
  <c r="H1302" i="5"/>
  <c r="F1294" i="5"/>
  <c r="R1294" i="5"/>
  <c r="J1294" i="5"/>
  <c r="I1294" i="5"/>
  <c r="H1294" i="5"/>
  <c r="F1286" i="5"/>
  <c r="R1286" i="5"/>
  <c r="J1286" i="5"/>
  <c r="I1286" i="5"/>
  <c r="H1286" i="5"/>
  <c r="F1278" i="5"/>
  <c r="R1278" i="5"/>
  <c r="J1278" i="5"/>
  <c r="I1278" i="5"/>
  <c r="H1278" i="5"/>
  <c r="F1270" i="5"/>
  <c r="R1270" i="5"/>
  <c r="J1270" i="5"/>
  <c r="I1270" i="5"/>
  <c r="H1270" i="5"/>
  <c r="R944" i="5"/>
  <c r="J944" i="5"/>
  <c r="I944" i="5"/>
  <c r="F944" i="5"/>
  <c r="H944" i="5"/>
  <c r="F1262" i="5"/>
  <c r="R1262" i="5"/>
  <c r="J1262" i="5"/>
  <c r="I1262" i="5"/>
  <c r="H1262" i="5"/>
  <c r="J1021" i="5"/>
  <c r="I1021" i="5"/>
  <c r="H1021" i="5"/>
  <c r="F1021" i="5"/>
  <c r="R1021" i="5"/>
  <c r="R946" i="5"/>
  <c r="I946" i="5"/>
  <c r="J946" i="5"/>
  <c r="H946" i="5"/>
  <c r="F946" i="5"/>
  <c r="R958" i="5"/>
  <c r="J958" i="5"/>
  <c r="I958" i="5"/>
  <c r="F958" i="5"/>
  <c r="H958" i="5"/>
  <c r="I1347" i="5"/>
  <c r="R1347" i="5"/>
  <c r="J1347" i="5"/>
  <c r="H1347" i="5"/>
  <c r="F1347" i="5"/>
  <c r="R950" i="5"/>
  <c r="J950" i="5"/>
  <c r="I950" i="5"/>
  <c r="H950" i="5"/>
  <c r="F950" i="5"/>
  <c r="R1153" i="5"/>
  <c r="J1153" i="5"/>
  <c r="I1153" i="5"/>
  <c r="H1153" i="5"/>
  <c r="F1153" i="5"/>
  <c r="R882" i="5"/>
  <c r="I882" i="5"/>
  <c r="H882" i="5"/>
  <c r="F882" i="5"/>
  <c r="J882" i="5"/>
  <c r="R902" i="5"/>
  <c r="I902" i="5"/>
  <c r="J902" i="5"/>
  <c r="H902" i="5"/>
  <c r="F902" i="5"/>
  <c r="R890" i="5"/>
  <c r="I890" i="5"/>
  <c r="H890" i="5"/>
  <c r="J890" i="5"/>
  <c r="F890" i="5"/>
  <c r="J977" i="5"/>
  <c r="I977" i="5"/>
  <c r="H977" i="5"/>
  <c r="R977" i="5"/>
  <c r="F977" i="5"/>
  <c r="F849" i="5"/>
  <c r="R849" i="5"/>
  <c r="I849" i="5"/>
  <c r="J849" i="5"/>
  <c r="H849" i="5"/>
  <c r="I649" i="5"/>
  <c r="H649" i="5"/>
  <c r="F649" i="5"/>
  <c r="R649" i="5"/>
  <c r="J649" i="5"/>
  <c r="I617" i="5"/>
  <c r="H617" i="5"/>
  <c r="F617" i="5"/>
  <c r="R617" i="5"/>
  <c r="J617" i="5"/>
  <c r="J703" i="5"/>
  <c r="I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R128" i="5"/>
  <c r="R136" i="5"/>
  <c r="R112" i="5"/>
  <c r="S566" i="5"/>
  <c r="S412" i="5"/>
  <c r="S363" i="5"/>
  <c r="S542" i="5"/>
  <c r="S360" i="5"/>
  <c r="S482" i="5"/>
  <c r="S546" i="5"/>
  <c r="S353" i="5"/>
  <c r="S563" i="5"/>
  <c r="S459" i="5"/>
  <c r="S373" i="5"/>
  <c r="S499" i="5"/>
  <c r="S455" i="5"/>
  <c r="S495" i="5"/>
  <c r="S508" i="5"/>
  <c r="S384" i="5"/>
  <c r="S523" i="5"/>
  <c r="S535" i="5"/>
  <c r="S476" i="5"/>
  <c r="S336" i="5"/>
  <c r="S371" i="5"/>
  <c r="S351" i="5"/>
  <c r="S492" i="5"/>
  <c r="S456" i="5"/>
  <c r="S376" i="5"/>
  <c r="S504" i="5"/>
  <c r="S483" i="5"/>
  <c r="S488" i="5"/>
  <c r="S590" i="5"/>
  <c r="S368" i="5"/>
  <c r="S530" i="5"/>
  <c r="S480" i="5"/>
  <c r="S531" i="5"/>
  <c r="S399" i="5"/>
  <c r="S345" i="5"/>
  <c r="S528" i="5"/>
  <c r="S516" i="5"/>
  <c r="S594" i="5"/>
  <c r="S507" i="5"/>
  <c r="S451" i="5"/>
  <c r="S335" i="5"/>
  <c r="S582" i="5"/>
  <c r="S500" i="5"/>
  <c r="S347" i="5"/>
  <c r="S512" i="5"/>
  <c r="S503" i="5"/>
  <c r="S478" i="5"/>
  <c r="S514" i="5"/>
  <c r="S558" i="5"/>
  <c r="S387" i="5"/>
  <c r="S559" i="5"/>
  <c r="S487" i="5"/>
  <c r="S551" i="5"/>
  <c r="S519" i="5"/>
  <c r="S547" i="5"/>
  <c r="S544" i="5"/>
  <c r="S526" i="5"/>
  <c r="S379" i="5"/>
  <c r="S540" i="5"/>
  <c r="S520" i="5"/>
  <c r="S550" i="5"/>
  <c r="S338" i="5"/>
  <c r="S536" i="5"/>
  <c r="S498" i="5"/>
  <c r="S484" i="5"/>
  <c r="S471" i="5"/>
  <c r="S515" i="5"/>
  <c r="S337" i="5"/>
  <c r="S555" i="5"/>
  <c r="S570" i="5"/>
  <c r="S527" i="5"/>
  <c r="S369" i="5"/>
  <c r="S381" i="5"/>
  <c r="S597" i="5"/>
  <c r="S599" i="5"/>
  <c r="S611" i="5"/>
  <c r="S601" i="5"/>
  <c r="S600" i="5"/>
  <c r="S382" i="5"/>
  <c r="S533" i="5"/>
  <c r="S355" i="5"/>
  <c r="S602" i="5"/>
  <c r="S603" i="5"/>
  <c r="S605" i="5"/>
  <c r="S607" i="5"/>
  <c r="AB12" i="5"/>
  <c r="AB9" i="5"/>
  <c r="G68" i="6" s="1"/>
  <c r="AB10" i="5"/>
  <c r="AB14" i="5"/>
  <c r="AB17" i="5"/>
  <c r="AB16" i="5"/>
  <c r="AB8" i="5"/>
  <c r="AB13" i="5"/>
  <c r="AB15" i="5"/>
  <c r="AB11" i="5"/>
  <c r="AB7" i="5"/>
  <c r="S430" i="5"/>
  <c r="S443" i="5"/>
  <c r="S419" i="5"/>
  <c r="S589" i="5"/>
  <c r="S521" i="5"/>
  <c r="S472" i="5"/>
  <c r="S596" i="5"/>
  <c r="S496" i="5"/>
  <c r="S366" i="5"/>
  <c r="S591" i="5"/>
  <c r="S439" i="5"/>
  <c r="S365" i="5"/>
  <c r="S403" i="5"/>
  <c r="S569" i="5"/>
  <c r="S553" i="5"/>
  <c r="S525" i="5"/>
  <c r="S469" i="5"/>
  <c r="S562" i="5"/>
  <c r="S394" i="5"/>
  <c r="S342" i="5"/>
  <c r="S463" i="5"/>
  <c r="S477" i="5"/>
  <c r="S571" i="5"/>
  <c r="S579" i="5"/>
  <c r="S473" i="5"/>
  <c r="S576" i="5"/>
  <c r="S608" i="5"/>
  <c r="S354" i="5"/>
  <c r="S465" i="5"/>
  <c r="S493" i="5"/>
  <c r="S398" i="5"/>
  <c r="S402" i="5"/>
  <c r="S467" i="5"/>
  <c r="S375" i="5"/>
  <c r="S362" i="5"/>
  <c r="S378" i="5"/>
  <c r="S339" i="5"/>
  <c r="S370" i="5"/>
  <c r="S517" i="5"/>
  <c r="S423" i="5"/>
  <c r="S475" i="5"/>
  <c r="S529" i="5"/>
  <c r="S458" i="5"/>
  <c r="S386" i="5"/>
  <c r="S534" i="5"/>
  <c r="S587" i="5"/>
  <c r="S554" i="5"/>
  <c r="S509" i="5"/>
  <c r="S522" i="5"/>
  <c r="S565" i="5"/>
  <c r="S447" i="5"/>
  <c r="S481" i="5"/>
  <c r="S367" i="5"/>
  <c r="S592" i="5"/>
  <c r="S438" i="5"/>
  <c r="S545" i="5"/>
  <c r="S391" i="5"/>
  <c r="S450" i="5"/>
  <c r="S442" i="5"/>
  <c r="S415" i="5"/>
  <c r="S435" i="5"/>
  <c r="S414" i="5"/>
  <c r="S462" i="5"/>
  <c r="S502" i="5"/>
  <c r="S538" i="5"/>
  <c r="S340" i="5"/>
  <c r="S486" i="5"/>
  <c r="S407" i="5"/>
  <c r="S410" i="5"/>
  <c r="S567" i="5"/>
  <c r="S578" i="5"/>
  <c r="S454" i="5"/>
  <c r="S595" i="5"/>
  <c r="S490" i="5"/>
  <c r="S431" i="5"/>
  <c r="S513" i="5"/>
  <c r="S350" i="5"/>
  <c r="S358" i="5"/>
  <c r="S418" i="5"/>
  <c r="S557" i="5"/>
  <c r="S556" i="5"/>
  <c r="S549" i="5"/>
  <c r="S581" i="5"/>
  <c r="S580" i="5"/>
  <c r="S411" i="5"/>
  <c r="S446" i="5"/>
  <c r="S537" i="5"/>
  <c r="S485" i="5"/>
  <c r="S541" i="5"/>
  <c r="S573" i="5"/>
  <c r="S374" i="5"/>
  <c r="S426" i="5"/>
  <c r="S501" i="5"/>
  <c r="S460" i="5"/>
  <c r="S561" i="5"/>
  <c r="S422" i="5"/>
  <c r="S574" i="5"/>
  <c r="S505" i="5"/>
  <c r="S346" i="5"/>
  <c r="S577" i="5"/>
  <c r="S466" i="5"/>
  <c r="S427" i="5"/>
  <c r="S518" i="5"/>
  <c r="S524" i="5"/>
  <c r="S406" i="5"/>
  <c r="S359" i="5"/>
  <c r="S506" i="5"/>
  <c r="S390" i="5"/>
  <c r="S395" i="5"/>
  <c r="S609" i="5"/>
  <c r="S575" i="5"/>
  <c r="S497" i="5"/>
  <c r="S434" i="5"/>
  <c r="S474" i="5"/>
  <c r="S585" i="5"/>
  <c r="S583" i="5"/>
  <c r="S588" i="5"/>
  <c r="S489" i="5"/>
  <c r="S593" i="5"/>
  <c r="R16" i="5"/>
  <c r="R10" i="5"/>
  <c r="R7" i="5"/>
  <c r="G65" i="6"/>
  <c r="R12" i="5"/>
  <c r="R9" i="5"/>
  <c r="R8" i="5"/>
  <c r="R15" i="5"/>
  <c r="R14" i="5"/>
  <c r="S213" i="5"/>
  <c r="S147" i="5"/>
  <c r="S177" i="5"/>
  <c r="S47" i="5"/>
  <c r="S275" i="5"/>
  <c r="S137" i="5"/>
  <c r="S197" i="5"/>
  <c r="S269" i="5"/>
  <c r="S81" i="5"/>
  <c r="S28" i="5"/>
  <c r="S327" i="5"/>
  <c r="S231" i="5"/>
  <c r="S333" i="5"/>
  <c r="S139" i="5"/>
  <c r="S174" i="5"/>
  <c r="S266" i="5"/>
  <c r="S54" i="5"/>
  <c r="S70" i="5"/>
  <c r="S220" i="5"/>
  <c r="S194" i="5"/>
  <c r="S288" i="5"/>
  <c r="S156" i="5"/>
  <c r="S43" i="5"/>
  <c r="S284" i="5"/>
  <c r="S207" i="5"/>
  <c r="S251" i="5"/>
  <c r="S172" i="5"/>
  <c r="S17" i="5"/>
  <c r="S58" i="5"/>
  <c r="S42" i="5"/>
  <c r="S94" i="5"/>
  <c r="S53" i="5"/>
  <c r="S106" i="5"/>
  <c r="S267" i="5"/>
  <c r="S159" i="5"/>
  <c r="S199" i="5"/>
  <c r="S67" i="5"/>
  <c r="S291" i="5"/>
  <c r="S125" i="5"/>
  <c r="S311" i="5"/>
  <c r="S332" i="5"/>
  <c r="S38" i="5"/>
  <c r="S322" i="5"/>
  <c r="S185" i="5"/>
  <c r="S205" i="5"/>
  <c r="S221" i="5"/>
  <c r="S170" i="5"/>
  <c r="S217" i="5"/>
  <c r="S142" i="5"/>
  <c r="S325" i="5"/>
  <c r="S212" i="5"/>
  <c r="S116" i="5"/>
  <c r="S192" i="5"/>
  <c r="S308" i="5"/>
  <c r="S136" i="5"/>
  <c r="S297" i="5"/>
  <c r="S264" i="5"/>
  <c r="S305" i="5"/>
  <c r="S148" i="5"/>
  <c r="S11" i="5"/>
  <c r="S74" i="5"/>
  <c r="S150" i="5"/>
  <c r="S61" i="5"/>
  <c r="S75" i="5"/>
  <c r="S143" i="5"/>
  <c r="S146" i="5"/>
  <c r="S50" i="5"/>
  <c r="S286" i="5"/>
  <c r="S290" i="5"/>
  <c r="S141" i="5"/>
  <c r="S126" i="5"/>
  <c r="S29" i="5"/>
  <c r="S273" i="5"/>
  <c r="S218" i="5"/>
  <c r="S101" i="5"/>
  <c r="S240" i="5"/>
  <c r="S188" i="5"/>
  <c r="S208" i="5"/>
  <c r="S124" i="5"/>
  <c r="S200" i="5"/>
  <c r="S272" i="5"/>
  <c r="S248" i="5"/>
  <c r="S312" i="5"/>
  <c r="S8" i="5"/>
  <c r="S123" i="5"/>
  <c r="S55" i="5"/>
  <c r="S119" i="5"/>
  <c r="S299" i="5"/>
  <c r="S175" i="5"/>
  <c r="S227" i="5"/>
  <c r="S86" i="5"/>
  <c r="S182" i="5"/>
  <c r="S153" i="5"/>
  <c r="S138" i="5"/>
  <c r="S84" i="5"/>
  <c r="S310" i="5"/>
  <c r="S289" i="5"/>
  <c r="S30" i="5"/>
  <c r="S277" i="5"/>
  <c r="S260" i="5"/>
  <c r="S232" i="5"/>
  <c r="S120" i="5"/>
  <c r="S280" i="5"/>
  <c r="S244" i="5"/>
  <c r="S9" i="5"/>
  <c r="S83" i="5"/>
  <c r="S183" i="5"/>
  <c r="S57" i="5"/>
  <c r="S255" i="5"/>
  <c r="S149" i="5"/>
  <c r="S130" i="5"/>
  <c r="S270" i="5"/>
  <c r="S36" i="5"/>
  <c r="S166" i="5"/>
  <c r="S326" i="5"/>
  <c r="S202" i="5"/>
  <c r="S107" i="5"/>
  <c r="S46" i="5"/>
  <c r="S140" i="5"/>
  <c r="S115" i="5"/>
  <c r="S91" i="5"/>
  <c r="S236" i="5"/>
  <c r="S102" i="5"/>
  <c r="S268" i="5"/>
  <c r="S71" i="5"/>
  <c r="S252" i="5"/>
  <c r="S128" i="5"/>
  <c r="S151" i="5"/>
  <c r="S7" i="5"/>
  <c r="S5" i="5"/>
  <c r="S35" i="5"/>
  <c r="S77" i="5"/>
  <c r="S95" i="5"/>
  <c r="S131" i="5"/>
  <c r="S257" i="5"/>
  <c r="S302" i="5"/>
  <c r="S69" i="5"/>
  <c r="S51" i="5"/>
  <c r="S263" i="5"/>
  <c r="S315" i="5"/>
  <c r="S56" i="5"/>
  <c r="S214" i="5"/>
  <c r="S133" i="5"/>
  <c r="S323" i="5"/>
  <c r="S110" i="5"/>
  <c r="S20" i="5"/>
  <c r="S118" i="5"/>
  <c r="S318" i="5"/>
  <c r="S285" i="5"/>
  <c r="S21" i="5"/>
  <c r="S22" i="5"/>
  <c r="S154" i="5"/>
  <c r="S216" i="5"/>
  <c r="S103" i="5"/>
  <c r="S228" i="5"/>
  <c r="S292" i="5"/>
  <c r="S193" i="5"/>
  <c r="S97" i="5"/>
  <c r="S161" i="5"/>
  <c r="S195" i="5"/>
  <c r="S89" i="5"/>
  <c r="S59" i="5"/>
  <c r="S283" i="5"/>
  <c r="S44" i="5"/>
  <c r="S329" i="5"/>
  <c r="S98" i="5"/>
  <c r="S233" i="5"/>
  <c r="S181" i="5"/>
  <c r="S24" i="5"/>
  <c r="S279" i="5"/>
  <c r="S320" i="5"/>
  <c r="S169" i="5"/>
  <c r="S321" i="5"/>
  <c r="S165" i="5"/>
  <c r="S117" i="5"/>
  <c r="S96" i="5"/>
  <c r="S317" i="5"/>
  <c r="S48" i="5"/>
  <c r="S40" i="5"/>
  <c r="S122" i="5"/>
  <c r="S301" i="5"/>
  <c r="S334" i="5"/>
  <c r="S261" i="5"/>
  <c r="S271" i="5"/>
  <c r="S162" i="5"/>
  <c r="S324" i="5"/>
  <c r="S10" i="5"/>
  <c r="S23" i="5"/>
  <c r="S112" i="5"/>
  <c r="S105" i="5"/>
  <c r="S222" i="5"/>
  <c r="S262" i="5"/>
  <c r="S203" i="5"/>
  <c r="S219" i="5"/>
  <c r="S171" i="5"/>
  <c r="S190" i="5"/>
  <c r="S19" i="5"/>
  <c r="S127" i="5"/>
  <c r="S155" i="5"/>
  <c r="S99" i="5"/>
  <c r="S198" i="5"/>
  <c r="S238" i="5"/>
  <c r="S134" i="5"/>
  <c r="S88" i="5"/>
  <c r="S230" i="5"/>
  <c r="S209" i="5"/>
  <c r="S241" i="5"/>
  <c r="S100" i="5"/>
  <c r="S66" i="5"/>
  <c r="S63" i="5"/>
  <c r="S52" i="5"/>
  <c r="S180" i="5"/>
  <c r="S306" i="5"/>
  <c r="S201" i="5"/>
  <c r="S196" i="5"/>
  <c r="S132" i="5"/>
  <c r="S104" i="5"/>
  <c r="S12" i="5"/>
  <c r="S167" i="5"/>
  <c r="S45" i="5"/>
  <c r="S237" i="5"/>
  <c r="S223" i="5"/>
  <c r="S129" i="5"/>
  <c r="S157" i="5"/>
  <c r="S25" i="5"/>
  <c r="S210" i="5"/>
  <c r="S226" i="5"/>
  <c r="S245" i="5"/>
  <c r="S34" i="5"/>
  <c r="S72" i="5"/>
  <c r="S258" i="5"/>
  <c r="S313" i="5"/>
  <c r="S246" i="5"/>
  <c r="S6" i="5"/>
  <c r="S176" i="5"/>
  <c r="S239" i="5"/>
  <c r="S204" i="5"/>
  <c r="S281" i="5"/>
  <c r="S191" i="5"/>
  <c r="S303" i="5"/>
  <c r="S87" i="5"/>
  <c r="S211" i="5"/>
  <c r="S15" i="5"/>
  <c r="S113" i="5"/>
  <c r="S259" i="5"/>
  <c r="S73" i="5"/>
  <c r="S114" i="5"/>
  <c r="S298" i="5"/>
  <c r="S254" i="5"/>
  <c r="S276" i="5"/>
  <c r="S164" i="5"/>
  <c r="S13" i="5"/>
  <c r="S85" i="5"/>
  <c r="S295" i="5"/>
  <c r="S31" i="5"/>
  <c r="S229" i="5"/>
  <c r="S65" i="5"/>
  <c r="S39" i="5"/>
  <c r="S49" i="5"/>
  <c r="S27" i="5"/>
  <c r="S178" i="5"/>
  <c r="S68" i="5"/>
  <c r="S109" i="5"/>
  <c r="S62" i="5"/>
  <c r="S253" i="5"/>
  <c r="S173" i="5"/>
  <c r="S79" i="5"/>
  <c r="S90" i="5"/>
  <c r="S64" i="5"/>
  <c r="S309" i="5"/>
  <c r="S296" i="5"/>
  <c r="S224" i="5"/>
  <c r="S215" i="5"/>
  <c r="S163" i="5"/>
  <c r="S16" i="5"/>
  <c r="S121" i="5"/>
  <c r="S78" i="5"/>
  <c r="S307" i="5"/>
  <c r="S265" i="5"/>
  <c r="S37" i="5"/>
  <c r="S282" i="5"/>
  <c r="S82" i="5"/>
  <c r="S256" i="5"/>
  <c r="S330" i="5"/>
  <c r="S189" i="5"/>
  <c r="S160" i="5"/>
  <c r="S14" i="5"/>
  <c r="S247" i="5"/>
  <c r="S225" i="5"/>
  <c r="S41" i="5"/>
  <c r="S80" i="5"/>
  <c r="S250" i="5"/>
  <c r="S158" i="5"/>
  <c r="S92" i="5"/>
  <c r="S331" i="5"/>
  <c r="S186" i="5"/>
  <c r="S76" i="5"/>
  <c r="S314" i="5"/>
  <c r="S144" i="5"/>
  <c r="S184" i="5"/>
  <c r="S300" i="5"/>
  <c r="S243" i="5"/>
  <c r="S145" i="5"/>
  <c r="S111" i="5"/>
  <c r="S304" i="5"/>
  <c r="S235" i="5"/>
  <c r="S319" i="5"/>
  <c r="S60" i="5"/>
  <c r="S108" i="5"/>
  <c r="S316" i="5"/>
  <c r="S135" i="5"/>
  <c r="S93" i="5"/>
  <c r="S294" i="5"/>
  <c r="S206" i="5"/>
  <c r="S152" i="5"/>
  <c r="S18" i="5"/>
  <c r="S179" i="5"/>
  <c r="S26" i="5"/>
  <c r="S33" i="5"/>
  <c r="S278" i="5"/>
  <c r="S242" i="5"/>
  <c r="S287" i="5"/>
  <c r="S328" i="5"/>
  <c r="S293" i="5"/>
  <c r="S187" i="5"/>
  <c r="S234" i="5"/>
  <c r="S274" i="5"/>
  <c r="S168" i="5"/>
  <c r="S32" i="5"/>
  <c r="S249" i="5"/>
  <c r="G64" i="6" a="1"/>
  <c r="G67" i="6" l="1"/>
  <c r="G66" i="6"/>
  <c r="H68" i="6"/>
  <c r="D68" i="6" s="1"/>
  <c r="G22" i="6"/>
  <c r="H22" i="6" s="1"/>
  <c r="C22" i="6"/>
  <c r="B47" i="6"/>
  <c r="G47" i="6" s="1"/>
  <c r="B32" i="6"/>
  <c r="G32" i="6" s="1"/>
  <c r="H47" i="6"/>
  <c r="D47" i="6" s="1"/>
  <c r="F52" i="6"/>
  <c r="H52" i="6" s="1"/>
  <c r="B42" i="6"/>
  <c r="G42" i="6" s="1"/>
  <c r="F32" i="6"/>
  <c r="H32" i="6" s="1"/>
  <c r="D32" i="6" s="1"/>
  <c r="B40" i="6"/>
  <c r="G40" i="6" s="1"/>
  <c r="H20" i="6"/>
  <c r="D20" i="6" s="1"/>
  <c r="B29" i="6"/>
  <c r="G29" i="6" s="1"/>
  <c r="C17" i="6"/>
  <c r="C27" i="6"/>
  <c r="F42" i="6"/>
  <c r="F37" i="6"/>
  <c r="H37" i="6" s="1"/>
  <c r="D37" i="6" s="1"/>
  <c r="C47" i="6"/>
  <c r="D16" i="6"/>
  <c r="B36" i="6"/>
  <c r="G36" i="6" s="1"/>
  <c r="B41" i="6"/>
  <c r="G41" i="6" s="1"/>
  <c r="F26" i="6"/>
  <c r="G21" i="6"/>
  <c r="H21" i="6" s="1"/>
  <c r="B26" i="6"/>
  <c r="G26" i="6" s="1"/>
  <c r="B46" i="6"/>
  <c r="G46" i="6" s="1"/>
  <c r="B31" i="6"/>
  <c r="G31" i="6" s="1"/>
  <c r="C16" i="6"/>
  <c r="H25" i="6"/>
  <c r="D25" i="6" s="1"/>
  <c r="F66" i="6"/>
  <c r="F30" i="6"/>
  <c r="H30" i="6" s="1"/>
  <c r="D30" i="6" s="1"/>
  <c r="F35" i="6"/>
  <c r="H35" i="6" s="1"/>
  <c r="D35" i="6" s="1"/>
  <c r="F40" i="6"/>
  <c r="F45" i="6"/>
  <c r="H45" i="6" s="1"/>
  <c r="D45" i="6" s="1"/>
  <c r="F50" i="6"/>
  <c r="H50" i="6" s="1"/>
  <c r="D50" i="6" s="1"/>
  <c r="K66" i="6"/>
  <c r="D15" i="6"/>
  <c r="C35" i="6"/>
  <c r="C20" i="6"/>
  <c r="C15" i="6"/>
  <c r="B55" i="4"/>
  <c r="A38" i="6" s="1"/>
  <c r="B61" i="4"/>
  <c r="A43" i="6" s="1"/>
  <c r="B49" i="4"/>
  <c r="A33" i="6" s="1"/>
  <c r="C25" i="6"/>
  <c r="F29" i="6"/>
  <c r="F39" i="6"/>
  <c r="H39" i="6" s="1"/>
  <c r="D39" i="6" s="1"/>
  <c r="F44" i="6"/>
  <c r="F65" i="6"/>
  <c r="F49" i="6"/>
  <c r="F34" i="6"/>
  <c r="D14" i="6"/>
  <c r="B37" i="4"/>
  <c r="A23" i="6" s="1"/>
  <c r="B34" i="6"/>
  <c r="G34" i="6" s="1"/>
  <c r="B43" i="4"/>
  <c r="A28" i="6" s="1"/>
  <c r="B49" i="6"/>
  <c r="G49" i="6" s="1"/>
  <c r="F19" i="6"/>
  <c r="B75" i="4"/>
  <c r="A54" i="6" s="1"/>
  <c r="B87" i="4"/>
  <c r="A62" i="6" s="1"/>
  <c r="B31" i="4"/>
  <c r="A18" i="6" s="1"/>
  <c r="B79" i="4"/>
  <c r="A57" i="6" s="1"/>
  <c r="B89" i="4"/>
  <c r="A63" i="6" s="1"/>
  <c r="B44" i="6"/>
  <c r="G44" i="6" s="1"/>
  <c r="B77" i="4"/>
  <c r="A55" i="6" s="1"/>
  <c r="B67" i="4"/>
  <c r="A48" i="6" s="1"/>
  <c r="G19" i="6"/>
  <c r="B81" i="4"/>
  <c r="A58" i="6" s="1"/>
  <c r="B24" i="6"/>
  <c r="G24" i="6" s="1"/>
  <c r="H24" i="6" s="1"/>
  <c r="D24" i="6" s="1"/>
  <c r="B85" i="4"/>
  <c r="A60" i="6" s="1"/>
  <c r="C14" i="6"/>
  <c r="C12" i="6"/>
  <c r="C11" i="6"/>
  <c r="C10" i="6"/>
  <c r="B68" i="4"/>
  <c r="A49" i="6" s="1"/>
  <c r="C9" i="6"/>
  <c r="B51" i="4"/>
  <c r="A35" i="6" s="1"/>
  <c r="A16" i="6"/>
  <c r="C8" i="6"/>
  <c r="B35" i="4"/>
  <c r="A22" i="6" s="1"/>
  <c r="D49" i="4"/>
  <c r="C7" i="6"/>
  <c r="B71" i="4"/>
  <c r="A52" i="6" s="1"/>
  <c r="B53" i="4"/>
  <c r="A37" i="6" s="1"/>
  <c r="B65" i="4"/>
  <c r="A47" i="6" s="1"/>
  <c r="B59" i="4"/>
  <c r="A42" i="6" s="1"/>
  <c r="A27" i="6"/>
  <c r="B63" i="4"/>
  <c r="A45" i="6" s="1"/>
  <c r="B57" i="4"/>
  <c r="A40" i="6" s="1"/>
  <c r="G69" i="6" a="1"/>
  <c r="G69" i="6" s="1"/>
  <c r="A25" i="6"/>
  <c r="B58" i="4"/>
  <c r="A41" i="6" s="1"/>
  <c r="B52" i="4"/>
  <c r="A36" i="6" s="1"/>
  <c r="D37" i="4"/>
  <c r="D74" i="4"/>
  <c r="B70" i="4"/>
  <c r="A51" i="6" s="1"/>
  <c r="A15" i="6"/>
  <c r="A26" i="6"/>
  <c r="D55" i="4"/>
  <c r="D31" i="4"/>
  <c r="D67" i="4"/>
  <c r="C5" i="6"/>
  <c r="B56" i="4"/>
  <c r="A39" i="6" s="1"/>
  <c r="B62" i="4"/>
  <c r="A44" i="6" s="1"/>
  <c r="G55" i="4"/>
  <c r="A24" i="6"/>
  <c r="C4" i="6"/>
  <c r="A14" i="6"/>
  <c r="G67" i="4"/>
  <c r="G37" i="4"/>
  <c r="G31" i="4"/>
  <c r="G74" i="4"/>
  <c r="G49" i="4"/>
  <c r="G43" i="4"/>
  <c r="D43" i="4"/>
  <c r="G64" i="6"/>
  <c r="F69" i="6"/>
  <c r="T249" i="5"/>
  <c r="T26" i="5"/>
  <c r="T304" i="5"/>
  <c r="T158" i="5"/>
  <c r="T307" i="5"/>
  <c r="T253" i="5"/>
  <c r="T276" i="5"/>
  <c r="T239" i="5"/>
  <c r="T157" i="5"/>
  <c r="T180" i="5"/>
  <c r="T155" i="5"/>
  <c r="T162" i="5"/>
  <c r="T169" i="5"/>
  <c r="T161" i="5"/>
  <c r="T20" i="5"/>
  <c r="T131" i="5"/>
  <c r="T236" i="5"/>
  <c r="T149" i="5"/>
  <c r="T289" i="5"/>
  <c r="T123" i="5"/>
  <c r="T273" i="5"/>
  <c r="T74" i="5"/>
  <c r="T142" i="5"/>
  <c r="T199" i="5"/>
  <c r="T156" i="5"/>
  <c r="T81" i="5"/>
  <c r="T183" i="5"/>
  <c r="T141" i="5"/>
  <c r="T221" i="5"/>
  <c r="T220" i="5"/>
  <c r="T202" i="5"/>
  <c r="T86" i="5"/>
  <c r="T322" i="5"/>
  <c r="T266" i="5"/>
  <c r="T201" i="5"/>
  <c r="T10" i="5"/>
  <c r="T318" i="5"/>
  <c r="T277" i="5"/>
  <c r="T101" i="5"/>
  <c r="T291" i="5"/>
  <c r="T32" i="5"/>
  <c r="T179" i="5"/>
  <c r="T111" i="5"/>
  <c r="T250" i="5"/>
  <c r="T78" i="5"/>
  <c r="T62" i="5"/>
  <c r="T254" i="5"/>
  <c r="T176" i="5"/>
  <c r="T129" i="5"/>
  <c r="T52" i="5"/>
  <c r="T127" i="5"/>
  <c r="T271" i="5"/>
  <c r="T320" i="5"/>
  <c r="T97" i="5"/>
  <c r="T110" i="5"/>
  <c r="T95" i="5"/>
  <c r="T91" i="5"/>
  <c r="T255" i="5"/>
  <c r="T310" i="5"/>
  <c r="T8" i="5"/>
  <c r="T29" i="5"/>
  <c r="T11" i="5"/>
  <c r="T217" i="5"/>
  <c r="T159" i="5"/>
  <c r="T288" i="5"/>
  <c r="T269" i="5"/>
  <c r="T115" i="5"/>
  <c r="T57" i="5"/>
  <c r="T84" i="5"/>
  <c r="T312" i="5"/>
  <c r="T126" i="5"/>
  <c r="T148" i="5"/>
  <c r="T170" i="5"/>
  <c r="T267" i="5"/>
  <c r="T194" i="5"/>
  <c r="T197" i="5"/>
  <c r="T140" i="5"/>
  <c r="T138" i="5"/>
  <c r="T248" i="5"/>
  <c r="T305" i="5"/>
  <c r="T106" i="5"/>
  <c r="T137" i="5"/>
  <c r="T280" i="5"/>
  <c r="T124" i="5"/>
  <c r="T50" i="5"/>
  <c r="T58" i="5"/>
  <c r="T210" i="5"/>
  <c r="T165" i="5"/>
  <c r="T302" i="5"/>
  <c r="T270" i="5"/>
  <c r="T61" i="5"/>
  <c r="T284" i="5"/>
  <c r="T173" i="5"/>
  <c r="T25" i="5"/>
  <c r="T99" i="5"/>
  <c r="T195" i="5"/>
  <c r="T257" i="5"/>
  <c r="T30" i="5"/>
  <c r="T218" i="5"/>
  <c r="T67" i="5"/>
  <c r="T327" i="5"/>
  <c r="T168" i="5"/>
  <c r="T152" i="5"/>
  <c r="T145" i="5"/>
  <c r="T80" i="5"/>
  <c r="T121" i="5"/>
  <c r="T109" i="5"/>
  <c r="T298" i="5"/>
  <c r="T6" i="5"/>
  <c r="T223" i="5"/>
  <c r="T66" i="5"/>
  <c r="T19" i="5"/>
  <c r="T261" i="5"/>
  <c r="T279" i="5"/>
  <c r="T193" i="5"/>
  <c r="T323" i="5"/>
  <c r="T77" i="5"/>
  <c r="T274" i="5"/>
  <c r="T206" i="5"/>
  <c r="T243" i="5"/>
  <c r="T225" i="5"/>
  <c r="T163" i="5"/>
  <c r="T178" i="5"/>
  <c r="T114" i="5"/>
  <c r="T246" i="5"/>
  <c r="T237" i="5"/>
  <c r="T100" i="5"/>
  <c r="T190" i="5"/>
  <c r="T334" i="5"/>
  <c r="T24" i="5"/>
  <c r="T292" i="5"/>
  <c r="T133" i="5"/>
  <c r="T35" i="5"/>
  <c r="T234" i="5"/>
  <c r="T294" i="5"/>
  <c r="T300" i="5"/>
  <c r="T160" i="5"/>
  <c r="T215" i="5"/>
  <c r="T27" i="5"/>
  <c r="T73" i="5"/>
  <c r="T313" i="5"/>
  <c r="T45" i="5"/>
  <c r="T241" i="5"/>
  <c r="T171" i="5"/>
  <c r="T301" i="5"/>
  <c r="T181" i="5"/>
  <c r="T228" i="5"/>
  <c r="T214" i="5"/>
  <c r="T5" i="5"/>
  <c r="T46" i="5"/>
  <c r="T83" i="5"/>
  <c r="T153" i="5"/>
  <c r="T272" i="5"/>
  <c r="T290" i="5"/>
  <c r="T264" i="5"/>
  <c r="T205" i="5"/>
  <c r="T94" i="5"/>
  <c r="T70" i="5"/>
  <c r="T275" i="5"/>
  <c r="T107" i="5"/>
  <c r="T244" i="5"/>
  <c r="T182" i="5"/>
  <c r="T200" i="5"/>
  <c r="T286" i="5"/>
  <c r="T297" i="5"/>
  <c r="T185" i="5"/>
  <c r="T42" i="5"/>
  <c r="T54" i="5"/>
  <c r="T47" i="5"/>
  <c r="T187" i="5"/>
  <c r="T93" i="5"/>
  <c r="T184" i="5"/>
  <c r="T189" i="5"/>
  <c r="T224" i="5"/>
  <c r="T49" i="5"/>
  <c r="T259" i="5"/>
  <c r="T258" i="5"/>
  <c r="T167" i="5"/>
  <c r="T209" i="5"/>
  <c r="T203" i="5"/>
  <c r="T122" i="5"/>
  <c r="T233" i="5"/>
  <c r="T103" i="5"/>
  <c r="T56" i="5"/>
  <c r="T7" i="5"/>
  <c r="T136" i="5"/>
  <c r="T177" i="5"/>
  <c r="T198" i="5"/>
  <c r="T59" i="5"/>
  <c r="T268" i="5"/>
  <c r="T119" i="5"/>
  <c r="T212" i="5"/>
  <c r="T231" i="5"/>
  <c r="T265" i="5"/>
  <c r="T164" i="5"/>
  <c r="T281" i="5"/>
  <c r="T306" i="5"/>
  <c r="T324" i="5"/>
  <c r="T321" i="5"/>
  <c r="T118" i="5"/>
  <c r="T102" i="5"/>
  <c r="T130" i="5"/>
  <c r="T55" i="5"/>
  <c r="T150" i="5"/>
  <c r="T325" i="5"/>
  <c r="T43" i="5"/>
  <c r="T293" i="5"/>
  <c r="T135" i="5"/>
  <c r="T144" i="5"/>
  <c r="T330" i="5"/>
  <c r="T296" i="5"/>
  <c r="T65" i="5"/>
  <c r="T113" i="5"/>
  <c r="T72" i="5"/>
  <c r="T12" i="5"/>
  <c r="T230" i="5"/>
  <c r="T262" i="5"/>
  <c r="T48" i="5"/>
  <c r="T98" i="5"/>
  <c r="T154" i="5"/>
  <c r="T315" i="5"/>
  <c r="T151" i="5"/>
  <c r="T328" i="5"/>
  <c r="T316" i="5"/>
  <c r="T314" i="5"/>
  <c r="T256" i="5"/>
  <c r="T309" i="5"/>
  <c r="T229" i="5"/>
  <c r="T211" i="5"/>
  <c r="T34" i="5"/>
  <c r="T104" i="5"/>
  <c r="T88" i="5"/>
  <c r="T222" i="5"/>
  <c r="T317" i="5"/>
  <c r="T329" i="5"/>
  <c r="T22" i="5"/>
  <c r="T263" i="5"/>
  <c r="T128" i="5"/>
  <c r="T326" i="5"/>
  <c r="T120" i="5"/>
  <c r="T227" i="5"/>
  <c r="T208" i="5"/>
  <c r="T146" i="5"/>
  <c r="T308" i="5"/>
  <c r="T332" i="5"/>
  <c r="T172" i="5"/>
  <c r="T174" i="5"/>
  <c r="T147" i="5"/>
  <c r="T282" i="5"/>
  <c r="T90" i="5"/>
  <c r="T295" i="5"/>
  <c r="T303" i="5"/>
  <c r="T226" i="5"/>
  <c r="T196" i="5"/>
  <c r="T238" i="5"/>
  <c r="T112" i="5"/>
  <c r="T117" i="5"/>
  <c r="T283" i="5"/>
  <c r="T285" i="5"/>
  <c r="T69" i="5"/>
  <c r="T71" i="5"/>
  <c r="T36" i="5"/>
  <c r="T260" i="5"/>
  <c r="T299" i="5"/>
  <c r="T240" i="5"/>
  <c r="T75" i="5"/>
  <c r="T116" i="5"/>
  <c r="T125" i="5"/>
  <c r="T207" i="5"/>
  <c r="T333" i="5"/>
  <c r="T287" i="5"/>
  <c r="T108" i="5"/>
  <c r="T76" i="5"/>
  <c r="T82" i="5"/>
  <c r="T64" i="5"/>
  <c r="T31" i="5"/>
  <c r="T87" i="5"/>
  <c r="T245" i="5"/>
  <c r="T132" i="5"/>
  <c r="T134" i="5"/>
  <c r="T105" i="5"/>
  <c r="T96" i="5"/>
  <c r="T44" i="5"/>
  <c r="T21" i="5"/>
  <c r="T51" i="5"/>
  <c r="T252" i="5"/>
  <c r="T166" i="5"/>
  <c r="T232" i="5"/>
  <c r="T175" i="5"/>
  <c r="T188" i="5"/>
  <c r="T143" i="5"/>
  <c r="T192" i="5"/>
  <c r="T311" i="5"/>
  <c r="T251" i="5"/>
  <c r="T139" i="5"/>
  <c r="T213" i="5"/>
  <c r="T242" i="5"/>
  <c r="T60" i="5"/>
  <c r="T186" i="5"/>
  <c r="T278" i="5"/>
  <c r="T319" i="5"/>
  <c r="T331" i="5"/>
  <c r="T37" i="5"/>
  <c r="T79" i="5"/>
  <c r="T85" i="5"/>
  <c r="T191" i="5"/>
  <c r="T33" i="5"/>
  <c r="T235" i="5"/>
  <c r="T92" i="5"/>
  <c r="H66" i="6" l="1"/>
  <c r="C68" i="6"/>
  <c r="C45" i="6"/>
  <c r="H40" i="6"/>
  <c r="D40" i="6" s="1"/>
  <c r="D52" i="6"/>
  <c r="C52" i="6"/>
  <c r="C32" i="6"/>
  <c r="H42" i="6"/>
  <c r="D22" i="6"/>
  <c r="K68" i="6"/>
  <c r="C30" i="6"/>
  <c r="C50" i="6"/>
  <c r="H29" i="6"/>
  <c r="C37" i="6"/>
  <c r="D21" i="6"/>
  <c r="K67" i="6"/>
  <c r="C21" i="6"/>
  <c r="F51" i="6"/>
  <c r="H51" i="6" s="1"/>
  <c r="H26" i="6"/>
  <c r="F31" i="6"/>
  <c r="H31" i="6" s="1"/>
  <c r="F67" i="6"/>
  <c r="H67" i="6" s="1"/>
  <c r="F36" i="6"/>
  <c r="H36" i="6" s="1"/>
  <c r="F46" i="6"/>
  <c r="H46" i="6" s="1"/>
  <c r="F41" i="6"/>
  <c r="H41" i="6" s="1"/>
  <c r="F54" i="6"/>
  <c r="F58" i="6" s="1"/>
  <c r="H58" i="6" s="1"/>
  <c r="C40" i="6"/>
  <c r="C24" i="6"/>
  <c r="C39" i="6"/>
  <c r="H34" i="6"/>
  <c r="H19" i="6"/>
  <c r="H49" i="6"/>
  <c r="C2" i="6"/>
  <c r="B2" i="6"/>
  <c r="H65" i="6"/>
  <c r="H44" i="6"/>
  <c r="C69" i="6"/>
  <c r="H69" i="6"/>
  <c r="H64" i="6"/>
  <c r="B64" i="6"/>
  <c r="D66" i="6" l="1"/>
  <c r="C66" i="6"/>
  <c r="D42" i="6"/>
  <c r="C42" i="6"/>
  <c r="D29" i="6"/>
  <c r="C29" i="6"/>
  <c r="F59" i="6"/>
  <c r="H59" i="6" s="1"/>
  <c r="D59" i="6" s="1"/>
  <c r="F57" i="6"/>
  <c r="H57" i="6" s="1"/>
  <c r="C57" i="6" s="1"/>
  <c r="F63" i="6"/>
  <c r="H63" i="6" s="1"/>
  <c r="D63" i="6" s="1"/>
  <c r="D41" i="6"/>
  <c r="C41" i="6"/>
  <c r="D46" i="6"/>
  <c r="C46" i="6"/>
  <c r="D36" i="6"/>
  <c r="C36" i="6"/>
  <c r="D67" i="6"/>
  <c r="C67" i="6"/>
  <c r="D31" i="6"/>
  <c r="C31" i="6"/>
  <c r="F62" i="6"/>
  <c r="H62" i="6" s="1"/>
  <c r="C62" i="6" s="1"/>
  <c r="D26" i="6"/>
  <c r="C26" i="6"/>
  <c r="F60" i="6"/>
  <c r="H60" i="6" s="1"/>
  <c r="D60" i="6" s="1"/>
  <c r="D51" i="6"/>
  <c r="C51" i="6"/>
  <c r="H54" i="6"/>
  <c r="D54" i="6" s="1"/>
  <c r="F55" i="6"/>
  <c r="F56" i="6" s="1"/>
  <c r="H56" i="6" s="1"/>
  <c r="D49" i="6"/>
  <c r="C49" i="6"/>
  <c r="D19" i="6"/>
  <c r="K65" i="6"/>
  <c r="C19" i="6"/>
  <c r="D34" i="6"/>
  <c r="C34" i="6"/>
  <c r="D58" i="6"/>
  <c r="C58" i="6"/>
  <c r="D57" i="6"/>
  <c r="D44" i="6"/>
  <c r="C44" i="6"/>
  <c r="D65" i="6"/>
  <c r="C65" i="6"/>
  <c r="D64" i="6"/>
  <c r="C64" i="6"/>
  <c r="D62" i="6" l="1"/>
  <c r="H55" i="6"/>
  <c r="H70" i="6" s="1"/>
  <c r="D2" i="6" s="1"/>
  <c r="C63" i="6"/>
  <c r="C59" i="6"/>
  <c r="C54" i="6"/>
  <c r="C60" i="6"/>
  <c r="D56" i="6"/>
  <c r="C56" i="6"/>
  <c r="C55" i="6" l="1"/>
  <c r="D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<sst xmlns="http://schemas.openxmlformats.org/spreadsheetml/2006/main" count="26131" uniqueCount="16557">
  <si>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</si>
  <si>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</si>
  <si>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</si>
  <si>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</si>
  <si>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</si>
  <si>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</si>
  <si>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</si>
  <si>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</si>
  <si>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</si>
  <si>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</si>
  <si>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</si>
  <si>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</si>
  <si>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</si>
  <si>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</si>
  <si>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</si>
  <si>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</si>
  <si>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</si>
  <si>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</si>
  <si>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</si>
  <si>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</si>
  <si>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</si>
  <si>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</si>
  <si>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</si>
  <si>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</si>
  <si>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</si>
  <si>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</si>
  <si>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</si>
  <si>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</si>
  <si>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</si>
  <si>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</si>
  <si>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</si>
  <si>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</si>
  <si>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</si>
  <si>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</si>
  <si>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</si>
  <si>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</si>
  <si>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</si>
  <si>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</si>
  <si>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</si>
  <si>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</si>
  <si>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</si>
  <si>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</si>
  <si>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</si>
  <si>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</si>
  <si>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</si>
  <si>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</si>
  <si>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</si>
  <si>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</si>
  <si>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</si>
  <si>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</si>
  <si>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</si>
  <si>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</si>
  <si>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</si>
  <si>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</si>
  <si>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</si>
  <si>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</si>
  <si>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</si>
  <si>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</si>
  <si>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</si>
  <si>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</si>
  <si>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</si>
  <si>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</si>
  <si>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</si>
  <si>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</si>
  <si>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</si>
  <si>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</si>
  <si>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</si>
  <si>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</si>
  <si>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</si>
  <si>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</si>
  <si>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</si>
  <si>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</si>
  <si>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</si>
  <si>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</si>
  <si>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</si>
  <si>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</si>
  <si>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</si>
  <si>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</si>
  <si>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</si>
  <si>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</si>
  <si>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</si>
  <si>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</si>
  <si>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</si>
  <si>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</si>
  <si>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</si>
  <si>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</si>
  <si>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</si>
  <si>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</si>
  <si>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</si>
  <si>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</si>
  <si>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</si>
  <si>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</si>
  <si>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</si>
  <si>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</si>
  <si>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</si>
  <si>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</si>
  <si>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</si>
  <si>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</si>
  <si>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</si>
  <si>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</si>
  <si>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</si>
  <si>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</si>
  <si>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</si>
  <si>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</si>
  <si>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</si>
  <si>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</si>
  <si>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</si>
  <si>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</si>
  <si>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</si>
  <si>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</si>
  <si>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</si>
  <si>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</si>
  <si>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</si>
  <si>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</si>
  <si>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</si>
  <si>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</si>
  <si>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</si>
  <si>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</si>
  <si>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</si>
  <si>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</si>
  <si>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</si>
  <si>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</si>
  <si>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</si>
  <si>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</si>
  <si>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</si>
  <si>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</si>
  <si>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</si>
  <si>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</si>
  <si>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</si>
  <si>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</si>
  <si>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</si>
  <si>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</si>
  <si>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</si>
  <si>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</si>
  <si>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</si>
  <si>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</si>
  <si>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</si>
  <si>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</si>
  <si>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</si>
  <si>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</si>
  <si>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</si>
  <si>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</si>
  <si>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</si>
  <si>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</si>
  <si>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</si>
  <si>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</si>
  <si>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</si>
  <si>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</si>
  <si>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</si>
  <si>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</si>
  <si>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</si>
  <si>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</si>
  <si>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</si>
  <si>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</si>
  <si>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</si>
  <si>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</si>
  <si>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</si>
  <si>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</si>
  <si>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</si>
  <si>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</si>
  <si>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</si>
  <si>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</si>
  <si>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</si>
  <si>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</si>
  <si>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</si>
  <si>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</si>
  <si>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</si>
  <si>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</si>
  <si>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</si>
  <si>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</si>
  <si>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</si>
  <si>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</si>
  <si>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</si>
  <si>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</si>
  <si>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</si>
  <si>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</si>
  <si>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</si>
  <si>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</si>
  <si>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</si>
  <si>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</si>
  <si>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</si>
  <si>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</si>
  <si>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</si>
  <si>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</si>
  <si>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</si>
  <si>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</si>
  <si>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</si>
  <si>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</si>
  <si>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</si>
  <si>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</si>
  <si>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</si>
  <si>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</si>
  <si>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</si>
  <si>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</si>
  <si>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</si>
  <si>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</si>
  <si>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</si>
  <si>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</si>
  <si>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</si>
  <si>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</si>
  <si>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</si>
  <si>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</si>
  <si>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</si>
  <si>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</si>
  <si>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</si>
  <si>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</si>
  <si>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</si>
  <si>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</si>
  <si>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</si>
  <si>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</si>
  <si>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</si>
  <si>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</si>
  <si>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</si>
  <si>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</si>
  <si>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</si>
  <si>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</si>
  <si>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</si>
  <si>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</si>
  <si>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</si>
  <si>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</si>
  <si>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</si>
  <si>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</si>
  <si>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</si>
  <si>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</si>
  <si>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</si>
  <si>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</si>
  <si>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</si>
  <si>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</si>
  <si>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</si>
  <si>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</si>
  <si>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</si>
  <si>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</si>
  <si>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</si>
  <si>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</si>
  <si>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</si>
  <si>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</si>
  <si>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</si>
  <si>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</si>
  <si>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</si>
  <si>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</si>
  <si>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</si>
  <si>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</si>
  <si>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</si>
  <si>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</si>
  <si>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</si>
  <si>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</si>
  <si>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</si>
  <si>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</si>
  <si>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</si>
  <si>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</si>
  <si>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</si>
  <si>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</si>
  <si>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</si>
  <si>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</si>
  <si>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</si>
  <si>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</si>
  <si>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</si>
  <si>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</si>
  <si>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</si>
  <si>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</si>
  <si>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</si>
  <si>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</si>
  <si>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</si>
  <si>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</si>
  <si>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</si>
  <si>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</si>
  <si>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</si>
  <si>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</si>
  <si>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</si>
  <si>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</si>
  <si>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</si>
  <si>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</si>
  <si>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</si>
  <si>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</si>
  <si>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</si>
  <si>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</si>
  <si>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</si>
  <si>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</si>
  <si>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</si>
  <si>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</si>
  <si>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</si>
  <si>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</si>
  <si>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</si>
  <si>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</si>
  <si>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</si>
  <si>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</si>
  <si>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</si>
  <si>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</si>
  <si>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</si>
  <si>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</si>
  <si>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</si>
  <si>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</si>
  <si>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</si>
  <si>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</si>
  <si>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</si>
  <si>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</si>
  <si>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</si>
  <si>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</si>
  <si>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</si>
  <si>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</si>
  <si>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</si>
  <si>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</si>
  <si>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</si>
  <si>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</si>
  <si>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</si>
  <si>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</si>
  <si>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</si>
  <si>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</si>
  <si>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</si>
  <si>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</si>
  <si>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</si>
  <si>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</si>
  <si>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</si>
  <si>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</si>
  <si>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</si>
  <si>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</si>
  <si>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</si>
  <si>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</si>
  <si>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</si>
  <si>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</si>
  <si>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</si>
  <si>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</si>
  <si>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</si>
  <si>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</si>
  <si>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</si>
  <si>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</si>
  <si>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</si>
  <si>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</si>
  <si>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</si>
  <si>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</si>
  <si>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</si>
  <si>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</si>
  <si>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</si>
  <si>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</si>
  <si>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</si>
  <si>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</si>
  <si>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</si>
  <si>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</si>
  <si>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</si>
  <si>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</si>
  <si>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</si>
  <si>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</si>
  <si>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</si>
  <si>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</si>
  <si>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</si>
  <si>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</si>
  <si>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</si>
  <si>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</si>
  <si>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</si>
  <si>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</si>
  <si>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</si>
  <si>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</si>
  <si>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</si>
  <si>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</si>
  <si>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</si>
  <si>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</si>
  <si>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</si>
  <si>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</si>
  <si>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</si>
  <si>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</si>
  <si>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</si>
  <si>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</si>
  <si>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</si>
  <si>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</si>
  <si>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</si>
  <si>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</si>
  <si>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</si>
  <si>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</si>
  <si>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</si>
  <si>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</si>
  <si>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</si>
  <si>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</si>
  <si>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</si>
  <si>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</si>
  <si>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</si>
  <si>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</si>
  <si>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</si>
  <si>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</si>
  <si>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</si>
  <si>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</si>
  <si>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</si>
  <si>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</si>
  <si>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</si>
  <si>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</si>
  <si>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</si>
  <si>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</si>
  <si>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</si>
  <si>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</si>
  <si>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</si>
  <si>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</si>
  <si>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</si>
  <si>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</si>
  <si>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</si>
  <si>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</si>
  <si>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</si>
  <si>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</si>
  <si>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</si>
  <si>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</si>
  <si>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</si>
  <si>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</si>
  <si>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</si>
  <si>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</si>
  <si>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</si>
  <si>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</si>
  <si>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</si>
  <si>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</si>
  <si>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</si>
  <si>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</si>
  <si>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</si>
  <si>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</si>
  <si>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</si>
  <si>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</si>
  <si>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</si>
  <si>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</si>
  <si>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</si>
  <si>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</si>
  <si>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</si>
  <si>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</si>
  <si>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</si>
  <si>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</si>
  <si>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</si>
  <si>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</si>
  <si>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</si>
  <si>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</si>
  <si>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</si>
  <si>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</si>
  <si>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</si>
  <si>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</si>
  <si>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</si>
  <si>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</si>
  <si>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</si>
  <si>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</si>
  <si>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</si>
  <si>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</si>
  <si>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</si>
  <si>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</si>
  <si>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</si>
  <si>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</si>
  <si>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</si>
  <si>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</si>
  <si>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</si>
  <si>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</si>
  <si>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</si>
  <si>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</si>
  <si>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</si>
  <si>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</si>
  <si>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</si>
  <si>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</si>
  <si>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</si>
  <si>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</si>
  <si>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</si>
  <si>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</si>
  <si>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</si>
  <si>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</si>
  <si>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</si>
  <si>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</si>
  <si>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</si>
  <si>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</si>
  <si>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</si>
  <si>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</si>
  <si>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</si>
  <si>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</si>
  <si>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</si>
  <si>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</si>
  <si>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</si>
  <si>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</si>
  <si>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</si>
  <si>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</si>
  <si>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</si>
  <si>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</si>
  <si>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</si>
  <si>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</si>
  <si>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</si>
  <si>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</si>
  <si>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</si>
  <si>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</si>
  <si>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</si>
  <si>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</si>
  <si>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</si>
  <si>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</si>
  <si>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</si>
  <si>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</si>
  <si>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</si>
  <si>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</si>
  <si>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</si>
  <si>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</si>
  <si>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</si>
  <si>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</si>
  <si>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</si>
  <si>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</si>
  <si>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</si>
  <si>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</si>
  <si>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</si>
  <si>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</si>
  <si>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</si>
  <si>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</si>
  <si>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</si>
  <si>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</si>
  <si>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</si>
  <si>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</si>
  <si>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</si>
  <si>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</si>
  <si>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</si>
  <si>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</si>
  <si>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</si>
  <si>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</si>
  <si>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</si>
  <si>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</si>
  <si>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</si>
  <si>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</si>
  <si>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</si>
  <si>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</si>
  <si>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</si>
  <si>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</si>
  <si>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</si>
  <si>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</si>
  <si>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</si>
  <si>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</si>
  <si>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</si>
  <si>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</si>
  <si>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</si>
  <si>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</si>
  <si>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</si>
  <si>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</si>
  <si>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</si>
  <si>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</si>
  <si>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</si>
  <si>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</si>
  <si>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</si>
  <si>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</si>
  <si>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</si>
  <si>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</si>
  <si>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</si>
  <si>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</si>
  <si>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</si>
  <si>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</si>
  <si>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</si>
  <si>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</si>
  <si>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</si>
  <si>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</si>
  <si>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</si>
  <si>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</si>
  <si>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</si>
  <si>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</si>
  <si>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</si>
  <si>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</si>
  <si>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</si>
  <si>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</si>
  <si>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</si>
  <si>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</si>
  <si>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</si>
  <si>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</si>
  <si>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</si>
  <si>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</si>
  <si>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</si>
  <si>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</si>
  <si>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</si>
  <si>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</si>
  <si>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</si>
  <si>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</si>
  <si>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</si>
  <si>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</si>
  <si>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</si>
  <si>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</si>
  <si>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</si>
  <si>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</si>
  <si>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</si>
  <si>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</si>
  <si>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</si>
  <si>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</si>
  <si>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</si>
  <si>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</si>
  <si>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</si>
  <si>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</si>
  <si>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</si>
  <si>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</si>
  <si>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</si>
  <si>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</si>
  <si>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</si>
  <si>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</si>
  <si>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</si>
  <si>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</si>
  <si>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</si>
  <si>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</si>
  <si>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</si>
  <si>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</si>
  <si>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</si>
  <si>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</si>
  <si>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</si>
  <si>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</si>
  <si>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</si>
  <si>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</si>
  <si>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</si>
  <si>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</si>
  <si>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</si>
  <si>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</si>
  <si>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</si>
  <si>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</si>
  <si>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</si>
  <si>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</si>
  <si>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</si>
  <si>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</si>
  <si>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</si>
  <si>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</si>
  <si>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</si>
  <si>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</si>
  <si>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</si>
  <si>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</si>
  <si>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</si>
  <si>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</si>
  <si>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</si>
  <si>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</si>
  <si>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</si>
  <si>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</si>
  <si>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</si>
  <si>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</si>
  <si>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</si>
  <si>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</si>
  <si>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</si>
  <si>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</si>
  <si>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</si>
  <si>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</si>
  <si>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</si>
  <si>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</si>
  <si>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</si>
  <si>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</si>
  <si>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</si>
  <si>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</si>
  <si>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</si>
  <si>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</si>
  <si>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</si>
  <si>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</si>
  <si>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</si>
  <si>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</si>
  <si>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</si>
  <si>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</si>
  <si>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</si>
  <si>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</si>
  <si>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</si>
  <si>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</si>
  <si>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</si>
  <si>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</si>
  <si>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</si>
  <si>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</si>
  <si>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</si>
  <si>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</si>
  <si>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</si>
  <si>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</si>
  <si>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</si>
  <si>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</si>
  <si>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</si>
  <si>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</si>
  <si>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</si>
  <si>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</si>
  <si>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</si>
  <si>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</si>
  <si>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</si>
  <si>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</si>
  <si>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</si>
  <si>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</si>
  <si>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</si>
  <si>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</si>
  <si>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</si>
  <si>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</si>
  <si>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</si>
  <si>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</si>
  <si>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</si>
  <si>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</si>
  <si>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</si>
  <si>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</si>
  <si>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</si>
  <si>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</si>
  <si>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</si>
  <si>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</si>
  <si>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</si>
  <si>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</si>
  <si>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</si>
  <si>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</si>
  <si>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</si>
  <si>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</si>
  <si>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</si>
  <si>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</si>
  <si>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</si>
  <si>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</si>
  <si>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</si>
  <si>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</si>
  <si>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</si>
  <si>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</si>
  <si>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</si>
  <si>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</si>
  <si>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</si>
  <si>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</si>
  <si>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</si>
  <si>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</si>
  <si>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</si>
  <si>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</si>
  <si>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</si>
  <si>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</si>
  <si>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</si>
  <si>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</si>
  <si>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</si>
  <si>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</si>
  <si>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</si>
  <si>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</si>
  <si>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</si>
  <si>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</si>
  <si>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</si>
  <si>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</si>
  <si>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</si>
  <si>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</si>
  <si>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</si>
  <si>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</si>
  <si>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</si>
  <si>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</si>
  <si>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</si>
  <si>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</si>
  <si>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</si>
  <si>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</si>
  <si>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</si>
  <si>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</si>
  <si>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</si>
  <si>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</si>
  <si>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</si>
  <si>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</si>
  <si>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</si>
  <si>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</si>
  <si>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</si>
  <si>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</si>
  <si>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</si>
  <si>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</si>
  <si>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</si>
  <si>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</si>
  <si>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</si>
  <si>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</si>
  <si>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</si>
  <si>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</si>
  <si>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</si>
  <si>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</si>
  <si>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</si>
  <si>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</si>
  <si>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</si>
  <si>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</si>
  <si>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</si>
  <si>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</si>
  <si>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</si>
  <si>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</si>
  <si>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</si>
  <si>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</si>
  <si>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</si>
  <si>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</si>
  <si>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</si>
  <si>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</si>
  <si>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</si>
  <si>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</si>
  <si>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</si>
  <si>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</si>
  <si>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</si>
  <si>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</si>
  <si>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</si>
  <si>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</si>
  <si>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</si>
  <si>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</si>
  <si>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</si>
  <si>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</si>
  <si>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</si>
  <si>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</si>
  <si>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</si>
  <si>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</si>
  <si>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</si>
  <si>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</si>
  <si>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</si>
  <si>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</si>
  <si>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</si>
  <si>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</si>
  <si>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</si>
  <si>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</si>
  <si>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</si>
  <si>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</si>
  <si>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</si>
  <si>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</si>
  <si>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</si>
  <si>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</si>
  <si>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</si>
  <si>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</si>
  <si>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</si>
  <si>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</si>
  <si>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</si>
  <si>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</si>
  <si>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</si>
  <si>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</si>
  <si>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</si>
  <si>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</si>
  <si>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</si>
  <si>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</si>
  <si>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</si>
  <si>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</si>
  <si>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</si>
  <si>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</si>
  <si>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</si>
  <si>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</si>
  <si>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</si>
  <si>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</si>
  <si>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</si>
  <si>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</si>
  <si>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</si>
  <si>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</si>
  <si>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</si>
  <si>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</si>
  <si>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</si>
  <si>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</si>
  <si>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</si>
  <si>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</si>
  <si>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</si>
  <si>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</si>
  <si>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</si>
  <si>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</si>
  <si>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</si>
  <si>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</si>
  <si>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</si>
  <si>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</si>
  <si>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</si>
  <si>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</si>
  <si>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</si>
  <si>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</si>
  <si>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</si>
  <si>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</si>
  <si>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</si>
  <si>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</si>
  <si>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</si>
  <si>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</si>
  <si>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</si>
  <si>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</si>
  <si>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</si>
  <si>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</si>
  <si>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</si>
  <si>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</si>
  <si>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</si>
  <si>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</si>
  <si>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</si>
  <si>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</si>
  <si>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</si>
  <si>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</si>
  <si>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</si>
  <si>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</si>
  <si>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</si>
  <si>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</si>
  <si>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</si>
  <si>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</si>
  <si>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</si>
  <si>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</si>
  <si>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</si>
  <si>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</si>
  <si>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</si>
  <si>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</si>
  <si>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</si>
  <si>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</si>
  <si>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</si>
  <si>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</si>
  <si>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</si>
  <si>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</si>
  <si>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</si>
  <si>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</si>
  <si>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</si>
  <si>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</si>
  <si>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</si>
  <si>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</si>
  <si>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</si>
  <si>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</si>
  <si>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</si>
  <si>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</si>
  <si>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</si>
  <si>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</si>
  <si>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</si>
  <si>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</si>
  <si>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</si>
  <si>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</si>
  <si>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</si>
  <si>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</si>
  <si>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</si>
  <si>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</si>
  <si>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</si>
  <si>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</si>
  <si>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</si>
  <si>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</si>
  <si>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</si>
  <si>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</si>
  <si>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</si>
  <si>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</si>
  <si>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</si>
  <si>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</si>
  <si>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</si>
  <si>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</si>
  <si>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</si>
  <si>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</si>
  <si>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</si>
  <si>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</si>
  <si>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</si>
  <si>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</si>
  <si>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</si>
  <si>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</si>
  <si>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</si>
  <si>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</si>
  <si>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</si>
  <si>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</si>
  <si>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</si>
  <si>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</si>
  <si>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</si>
  <si>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</si>
  <si>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</si>
  <si>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</si>
  <si>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</si>
  <si>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</si>
  <si>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</si>
  <si>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</si>
  <si>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</si>
  <si>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</si>
  <si>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</si>
  <si>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</si>
  <si>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</si>
  <si>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</si>
  <si>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</si>
  <si>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</si>
  <si>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</si>
  <si>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</si>
  <si>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</si>
  <si>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</si>
  <si>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</si>
  <si>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</si>
  <si>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</si>
  <si>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</si>
  <si>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</si>
  <si>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</si>
  <si>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</si>
  <si>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</si>
  <si>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</si>
  <si>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</si>
  <si>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</si>
  <si>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</si>
  <si>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</si>
  <si>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</si>
  <si>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</si>
  <si>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</si>
  <si>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</si>
  <si>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</si>
  <si>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</si>
  <si>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</si>
  <si>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</si>
  <si>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</si>
  <si>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</si>
  <si>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</si>
  <si>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</si>
  <si>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</si>
  <si>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</si>
  <si>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</si>
  <si>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</si>
  <si>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</si>
  <si>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</si>
  <si>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</si>
  <si>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</si>
  <si>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</si>
  <si>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</si>
  <si>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</si>
  <si>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</si>
  <si>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</si>
  <si>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</si>
  <si>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</si>
  <si>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</si>
  <si>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</si>
  <si>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</si>
  <si>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</si>
  <si>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</si>
  <si>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</si>
  <si>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</si>
  <si>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</si>
  <si>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</si>
  <si>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</si>
  <si>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</si>
  <si>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</si>
  <si>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</si>
  <si>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</si>
  <si>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</si>
  <si>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</si>
  <si>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</si>
  <si>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</si>
  <si>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</si>
  <si>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</si>
  <si>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</si>
  <si>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</si>
  <si>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</si>
  <si>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</si>
  <si>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</si>
  <si>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</si>
  <si>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</si>
  <si>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</si>
  <si>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</si>
  <si>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</si>
  <si>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</si>
  <si>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</si>
  <si>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</si>
  <si>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</si>
  <si>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</si>
  <si>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</si>
  <si>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</si>
  <si>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</si>
  <si>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</si>
  <si>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</si>
  <si>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</si>
  <si>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</si>
  <si>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</si>
  <si>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</si>
  <si>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</si>
  <si>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</si>
  <si>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</si>
  <si>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</si>
  <si>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</si>
  <si>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</si>
  <si>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</si>
  <si>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</si>
  <si>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</si>
  <si>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</si>
  <si>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</si>
  <si>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</si>
  <si>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</si>
  <si>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</si>
  <si>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</si>
  <si>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</si>
  <si>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</si>
  <si>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</si>
  <si>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</si>
  <si>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</si>
  <si>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</si>
  <si>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</si>
  <si>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</si>
  <si>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</si>
  <si>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</si>
  <si>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</si>
  <si>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</si>
  <si>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</si>
  <si>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</si>
  <si>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</si>
  <si>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</si>
  <si>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</si>
  <si>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</si>
  <si>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</si>
  <si>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</si>
  <si>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</si>
  <si>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</si>
  <si>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</si>
  <si>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</si>
  <si>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</si>
  <si>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</si>
  <si>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</si>
  <si>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</si>
  <si>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</si>
  <si>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</si>
  <si>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</si>
  <si>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</si>
  <si>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</si>
  <si>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</si>
  <si>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</si>
  <si>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</si>
  <si>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</si>
  <si>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</si>
  <si>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</si>
  <si>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</si>
  <si>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</si>
  <si>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</si>
  <si>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</si>
  <si>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</si>
  <si>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</si>
  <si>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</si>
  <si>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</si>
  <si>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</si>
  <si>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</si>
  <si>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</si>
  <si>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</si>
  <si>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</si>
  <si>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</si>
  <si>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</si>
  <si>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</si>
  <si>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</si>
  <si>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</si>
  <si>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</si>
  <si>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</si>
  <si>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</si>
  <si>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</si>
  <si>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</si>
  <si>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</si>
  <si>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</si>
  <si>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</si>
  <si>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</si>
  <si>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</si>
  <si>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</si>
  <si>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</si>
  <si>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</si>
  <si>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</si>
  <si>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</si>
  <si>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</si>
  <si>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</si>
  <si>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</si>
  <si>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</si>
  <si>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</si>
  <si>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</si>
  <si>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</si>
  <si>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</si>
  <si>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</si>
  <si>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</si>
  <si>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</si>
  <si>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</si>
  <si>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</si>
  <si>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</si>
  <si>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</si>
  <si>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</si>
  <si>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</si>
  <si>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</si>
  <si>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</si>
  <si>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</si>
  <si>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</si>
  <si>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</si>
  <si>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</si>
  <si>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</si>
  <si>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</si>
  <si>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</si>
  <si>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</si>
  <si>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</si>
  <si>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</si>
  <si>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</si>
  <si>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</si>
  <si>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</si>
  <si>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</si>
  <si>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</si>
  <si>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</si>
  <si>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</si>
  <si>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</si>
  <si>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</si>
  <si>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</si>
  <si>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</si>
  <si>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</si>
  <si>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</si>
  <si>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</si>
  <si>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</si>
  <si>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</si>
  <si>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</si>
  <si>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</si>
  <si>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</si>
  <si>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</si>
  <si>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</si>
  <si>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</si>
  <si>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</si>
  <si>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</si>
  <si>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</si>
  <si>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</si>
  <si>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</si>
  <si>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</si>
  <si>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</si>
  <si>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</si>
  <si>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</si>
  <si>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</si>
  <si>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</si>
  <si>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</si>
  <si>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</si>
  <si>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</si>
  <si>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</si>
  <si>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</si>
  <si>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</si>
  <si>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</si>
  <si>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</si>
  <si>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</si>
  <si>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</si>
  <si>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</si>
  <si>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</si>
  <si>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</si>
  <si>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</si>
  <si>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</si>
  <si>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</si>
  <si>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</si>
  <si>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</si>
  <si>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</si>
  <si>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</si>
  <si>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</si>
  <si>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</si>
  <si>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</si>
  <si>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</si>
  <si>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</si>
  <si>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</si>
  <si>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</si>
  <si>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</si>
  <si>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</si>
  <si>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</si>
  <si>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</si>
  <si>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</si>
  <si>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</si>
  <si>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</si>
  <si>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</si>
  <si>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</si>
  <si>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</si>
  <si>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</si>
  <si>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</si>
  <si>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</si>
  <si>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</si>
  <si>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</si>
  <si>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</si>
  <si>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</si>
  <si>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</si>
  <si>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</si>
  <si>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</si>
  <si>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</si>
  <si>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</si>
  <si>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</si>
  <si>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</si>
  <si>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</si>
  <si>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</si>
  <si>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</si>
  <si>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</si>
  <si>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</si>
  <si>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</si>
  <si>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</si>
  <si>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</si>
  <si>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</si>
  <si>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</si>
  <si>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</si>
  <si>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</si>
  <si>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</si>
  <si>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</si>
  <si>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</si>
  <si>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</si>
  <si>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</si>
  <si>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</si>
  <si>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</si>
  <si>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</si>
  <si>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</si>
  <si>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</si>
  <si>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</si>
  <si>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</si>
  <si>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</si>
  <si>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</si>
  <si>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</si>
  <si>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</si>
  <si>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</si>
  <si>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</si>
  <si>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</si>
  <si>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</si>
  <si>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</si>
  <si>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</si>
  <si>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</si>
  <si>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</si>
  <si>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</si>
  <si>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</si>
  <si>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</si>
  <si>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</si>
  <si>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</si>
  <si>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</si>
  <si>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</si>
  <si>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</si>
  <si>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</si>
  <si>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</si>
  <si>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</si>
  <si>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</si>
  <si>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</si>
  <si>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</si>
  <si>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</si>
  <si>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</si>
  <si>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</si>
  <si>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</si>
  <si>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</si>
  <si>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</si>
  <si>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</si>
  <si>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</si>
  <si>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</si>
  <si>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</si>
  <si>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</si>
  <si>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</si>
  <si>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</si>
  <si>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</si>
  <si>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</si>
  <si>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</si>
  <si>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</si>
  <si>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</si>
  <si>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</si>
  <si>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</si>
  <si>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</si>
  <si>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</si>
  <si>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</si>
  <si>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</si>
  <si>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</si>
  <si>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</si>
  <si>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</si>
  <si>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</si>
  <si>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</si>
  <si>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</si>
  <si>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</si>
  <si>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</si>
  <si>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</si>
  <si>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</si>
  <si>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</si>
  <si>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</si>
  <si>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</si>
  <si>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</si>
  <si>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</si>
  <si>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</si>
  <si>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</si>
  <si>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</si>
  <si>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</si>
  <si>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</si>
  <si>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</si>
  <si>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</si>
  <si>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</si>
  <si>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</si>
  <si>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</si>
  <si>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</si>
  <si>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</si>
  <si>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</si>
  <si>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</si>
  <si>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</si>
  <si>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</si>
  <si>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</si>
  <si>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</si>
  <si>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</si>
  <si>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</si>
  <si>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</si>
  <si>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</si>
  <si>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</si>
  <si>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</si>
  <si>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</si>
  <si>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</si>
  <si>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</si>
  <si>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</si>
  <si>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</si>
  <si>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</si>
  <si>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</si>
  <si>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</si>
  <si>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</si>
  <si>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</si>
  <si>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</si>
  <si>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</si>
  <si>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</si>
  <si>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</si>
  <si>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</si>
  <si>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</si>
  <si>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</si>
  <si>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</si>
  <si>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</si>
  <si>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</si>
  <si>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</si>
  <si>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</si>
  <si>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</si>
  <si>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</si>
  <si>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</si>
  <si>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</si>
  <si>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</si>
  <si>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</si>
  <si>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</si>
  <si>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</si>
  <si>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</si>
  <si>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</si>
  <si>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</si>
  <si>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</si>
  <si>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</si>
  <si>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</si>
  <si>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</si>
  <si>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</si>
  <si>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</si>
  <si>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</si>
  <si>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</si>
  <si>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</si>
  <si>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</si>
  <si>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</si>
  <si>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</si>
  <si>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</si>
  <si>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</si>
  <si>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</si>
  <si>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</si>
  <si>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</si>
  <si>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</si>
  <si>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</si>
  <si>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</si>
  <si>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</si>
  <si>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</si>
  <si>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</si>
  <si>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</si>
  <si>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</si>
  <si>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</si>
  <si>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</si>
  <si>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</si>
  <si>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</si>
  <si>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</si>
  <si>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</si>
  <si>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</si>
  <si>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</si>
  <si>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</si>
  <si>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</si>
  <si>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</si>
  <si>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</si>
  <si>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</si>
  <si>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</si>
  <si>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</si>
  <si>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</si>
  <si>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</si>
  <si>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</si>
  <si>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</si>
  <si>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</si>
  <si>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</si>
  <si>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</si>
  <si>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</si>
  <si>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</si>
  <si>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</si>
  <si>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</si>
  <si>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</si>
  <si>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</si>
  <si>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</si>
  <si>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</si>
  <si>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</si>
  <si>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</si>
  <si>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</si>
  <si>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</si>
  <si>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</si>
  <si>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</si>
  <si>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</si>
  <si>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</si>
  <si>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</si>
  <si>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</si>
  <si>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</si>
  <si>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</si>
  <si>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</si>
  <si>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</si>
  <si>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</si>
  <si>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</si>
  <si>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</si>
  <si>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</si>
  <si>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</si>
  <si>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</si>
  <si>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</si>
  <si>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</si>
  <si>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</si>
  <si>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</si>
  <si>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</si>
  <si>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</si>
  <si>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</si>
  <si>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</si>
  <si>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</si>
  <si>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</si>
  <si>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</si>
  <si>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</si>
  <si>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</si>
  <si>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</si>
  <si>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</si>
  <si>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</si>
  <si>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</si>
  <si>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</si>
  <si>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</si>
  <si>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</si>
  <si>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</si>
  <si>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</si>
  <si>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</si>
  <si>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</si>
  <si>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</si>
  <si>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</si>
  <si>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</si>
  <si>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</si>
  <si>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</si>
  <si>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</si>
  <si>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</si>
  <si>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</si>
  <si>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</si>
  <si>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</si>
  <si>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</si>
  <si>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</si>
  <si>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</si>
  <si>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</si>
  <si>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</si>
  <si>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</si>
  <si>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</si>
  <si>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</si>
  <si>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</si>
  <si>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</si>
  <si>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</si>
  <si>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</si>
  <si>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</si>
  <si>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</si>
  <si>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</si>
  <si>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</si>
  <si>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</si>
  <si>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</si>
  <si>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</si>
  <si>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</si>
  <si>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</si>
  <si>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</si>
  <si>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</si>
  <si>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</si>
  <si>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</si>
  <si>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</si>
  <si>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</si>
  <si>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</si>
  <si>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</si>
  <si>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</si>
  <si>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</si>
  <si>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</si>
  <si>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</si>
  <si>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</si>
  <si>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</si>
  <si>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</si>
  <si>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</si>
  <si>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</si>
  <si>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</si>
  <si>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</si>
  <si>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</si>
  <si>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</si>
  <si>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</si>
  <si>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</si>
  <si>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</si>
  <si>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</si>
  <si>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</si>
  <si>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</si>
  <si>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</si>
  <si>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</si>
  <si>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</si>
  <si>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</si>
  <si>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</si>
  <si>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</si>
  <si>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</si>
  <si>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</si>
  <si>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</si>
  <si>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</si>
  <si>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</si>
  <si>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</si>
  <si>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</si>
  <si>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</si>
  <si>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</si>
  <si>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</si>
  <si>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</si>
  <si>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</si>
  <si>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</si>
  <si>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</si>
  <si>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</si>
  <si>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</si>
  <si>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</si>
  <si>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</si>
  <si>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</si>
  <si>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</si>
  <si>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</si>
  <si>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</si>
  <si>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</si>
  <si>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</si>
  <si>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</si>
  <si>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</si>
  <si>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</si>
  <si>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</si>
  <si>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</si>
  <si>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</si>
  <si>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</si>
  <si>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</si>
  <si>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</si>
  <si>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</si>
  <si>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</si>
  <si>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</si>
  <si>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</si>
  <si>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</si>
  <si>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</si>
  <si>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</si>
  <si>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</si>
  <si>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</si>
  <si>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</si>
  <si>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</si>
  <si>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</si>
  <si>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</si>
  <si>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</si>
  <si>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</si>
  <si>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</si>
  <si>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</si>
  <si>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</si>
  <si>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</si>
  <si>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</si>
  <si>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</si>
  <si>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</si>
  <si>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</si>
  <si>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</si>
  <si>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</si>
  <si>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</si>
  <si>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</si>
  <si>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</si>
  <si>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</si>
  <si>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</si>
  <si>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</si>
  <si>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</si>
  <si>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</si>
  <si>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</si>
  <si>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</si>
  <si>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</si>
  <si>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</si>
  <si>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</si>
  <si>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</si>
  <si>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</si>
  <si>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</si>
  <si>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</si>
  <si>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</si>
  <si>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</si>
  <si>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</si>
  <si>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</si>
  <si>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</si>
  <si>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</si>
  <si>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</si>
  <si>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</si>
  <si>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</si>
  <si>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</si>
  <si>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</si>
  <si>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</si>
  <si>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</si>
  <si>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</si>
  <si>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</si>
  <si>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</si>
  <si>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</si>
  <si>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</si>
  <si>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</si>
  <si>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</si>
  <si>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</si>
  <si>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</si>
  <si>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</si>
  <si>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</si>
  <si>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</si>
  <si>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</si>
  <si>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</si>
  <si>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</si>
  <si>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</si>
  <si>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</si>
  <si>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</si>
  <si>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</si>
  <si>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</si>
  <si>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</si>
  <si>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</si>
  <si>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</si>
  <si>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</si>
  <si>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</si>
  <si>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</si>
  <si>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</si>
  <si>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</si>
  <si>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</si>
  <si>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</si>
  <si>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</si>
  <si>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</si>
  <si>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</si>
  <si>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</si>
  <si>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</si>
  <si>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</si>
  <si>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</si>
  <si>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</si>
  <si>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</si>
  <si>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</si>
  <si>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</si>
  <si>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</si>
  <si>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</si>
  <si>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</si>
  <si>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</si>
  <si>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</si>
  <si>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</si>
  <si>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</si>
  <si>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</si>
  <si>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</si>
  <si>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</si>
  <si>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</si>
  <si>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</si>
  <si>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</si>
  <si>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</si>
  <si>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</si>
  <si>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</si>
  <si>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</si>
  <si>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</si>
  <si>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</si>
  <si>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</si>
  <si>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</si>
  <si>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</si>
  <si>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</si>
  <si>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</si>
  <si>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</si>
  <si>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</si>
  <si>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</si>
  <si>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</si>
  <si>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</si>
  <si>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</si>
  <si>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</si>
  <si>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</si>
  <si>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</si>
  <si>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</si>
  <si>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</si>
  <si>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</si>
  <si>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</si>
  <si>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</si>
  <si>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</si>
  <si>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</si>
  <si>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</si>
  <si>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</si>
  <si>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</si>
  <si>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</si>
  <si>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</si>
  <si>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</si>
  <si>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</si>
  <si>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</si>
  <si>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</si>
  <si>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</si>
  <si>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</si>
  <si>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</si>
  <si>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</si>
  <si>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</si>
  <si>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</si>
  <si>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</si>
  <si>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</si>
  <si>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</si>
  <si>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</si>
  <si>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</si>
  <si>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</si>
  <si>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</si>
  <si>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</si>
  <si>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</si>
  <si>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</si>
  <si>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</si>
  <si>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</si>
  <si>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</si>
  <si>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</si>
  <si>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</si>
  <si>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</si>
  <si>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</si>
  <si>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</si>
  <si>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</si>
  <si>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</si>
  <si>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</si>
  <si>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</si>
  <si>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</si>
  <si>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</si>
  <si>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</si>
  <si>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</si>
  <si>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</si>
  <si>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</si>
  <si>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</si>
  <si>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</si>
  <si>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</si>
  <si>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</si>
  <si>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</si>
  <si>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</si>
  <si>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</si>
  <si>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</si>
  <si>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</si>
  <si>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</si>
  <si>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</si>
  <si>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</si>
  <si>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</si>
  <si>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</si>
  <si>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</si>
  <si>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</si>
  <si>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</si>
  <si>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</si>
  <si>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</si>
  <si>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</si>
  <si>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</si>
  <si>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</si>
  <si>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</si>
  <si>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</si>
  <si>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</si>
  <si>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</si>
  <si>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</si>
  <si>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</si>
  <si>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</si>
  <si>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</si>
  <si>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</si>
  <si>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</si>
  <si>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</si>
  <si>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</si>
  <si>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</si>
  <si>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</si>
  <si>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</si>
  <si>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</si>
  <si>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</si>
  <si>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</si>
  <si>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</si>
  <si>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</si>
  <si>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</si>
  <si>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</si>
  <si>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</si>
  <si>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</si>
  <si>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</si>
  <si>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</si>
  <si>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</si>
  <si>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</si>
  <si>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</si>
  <si>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</si>
  <si>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</si>
  <si>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</si>
  <si>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</si>
  <si>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</si>
  <si>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</si>
  <si>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</si>
  <si>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</si>
  <si>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</si>
  <si>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</si>
  <si>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</si>
  <si>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</si>
  <si>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</si>
  <si>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</si>
  <si>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</si>
  <si>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</si>
  <si>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</si>
  <si>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</si>
  <si>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</si>
  <si>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</si>
  <si>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</si>
  <si>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</si>
  <si>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</si>
  <si>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</si>
  <si>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</si>
  <si>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</si>
  <si>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</si>
  <si>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</si>
  <si>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</si>
  <si>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</si>
  <si>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</si>
  <si>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</si>
  <si>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</si>
  <si>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</si>
  <si>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</si>
  <si>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</si>
  <si>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</si>
  <si>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</si>
  <si>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</si>
  <si>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</si>
  <si>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</si>
  <si>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</si>
  <si>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</si>
  <si>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</si>
  <si>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</si>
  <si>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</si>
  <si>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</si>
  <si>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</si>
  <si>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</si>
  <si>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</si>
  <si>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</si>
  <si>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</si>
  <si>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</si>
  <si>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</si>
  <si>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</si>
  <si>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</si>
  <si>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</si>
  <si>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</si>
  <si>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</si>
  <si>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</si>
  <si>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</si>
  <si>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</si>
  <si>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</si>
  <si>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</si>
  <si>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</si>
  <si>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</si>
  <si>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</si>
  <si>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</si>
  <si>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</si>
  <si>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</si>
  <si>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</si>
  <si>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</si>
  <si>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</si>
  <si>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</si>
  <si>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</si>
  <si>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</si>
  <si>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</si>
  <si>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</si>
  <si>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</si>
  <si>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</si>
  <si>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</si>
  <si>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</si>
  <si>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</si>
  <si>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</si>
  <si>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</si>
  <si>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</si>
  <si>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</si>
  <si>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</si>
  <si>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</si>
  <si>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</si>
  <si>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</si>
  <si>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</si>
  <si>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</si>
  <si>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</si>
  <si>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</si>
  <si>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</si>
  <si>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</si>
  <si>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</si>
  <si>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</si>
  <si>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</si>
  <si>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</si>
  <si>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</si>
  <si>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</si>
  <si>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</si>
  <si>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</si>
  <si>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</si>
  <si>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</si>
  <si>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</si>
  <si>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</si>
  <si>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</si>
  <si>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</si>
  <si>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</si>
  <si>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</si>
  <si>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</si>
  <si>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</si>
  <si>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</si>
  <si>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</si>
  <si>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</si>
  <si>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</si>
  <si>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</si>
  <si>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</si>
  <si>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</si>
  <si>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</si>
  <si>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</si>
  <si>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</si>
  <si>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</si>
  <si>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</si>
  <si>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</si>
  <si>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</si>
  <si>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</si>
  <si>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</si>
  <si>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</si>
  <si>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</si>
  <si>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</si>
  <si>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</si>
  <si>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</si>
  <si>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</si>
  <si>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</si>
  <si>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</si>
  <si>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</si>
  <si>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</si>
  <si>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</si>
  <si>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</si>
  <si>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</si>
  <si>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</si>
  <si>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</si>
  <si>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</si>
  <si>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</si>
  <si>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</si>
  <si>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</si>
  <si>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</si>
  <si>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</si>
  <si>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</si>
  <si>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</si>
  <si>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</si>
  <si>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</si>
  <si>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</si>
  <si>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</si>
  <si>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</si>
  <si>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</si>
  <si>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</si>
  <si>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</si>
  <si>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</si>
  <si>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</si>
  <si>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</si>
  <si>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</si>
  <si>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</si>
  <si>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</si>
  <si>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</si>
  <si>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</si>
  <si>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</si>
  <si>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</si>
  <si>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</si>
  <si>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</si>
  <si>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</si>
  <si>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</si>
  <si>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</si>
  <si>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</si>
  <si>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</si>
  <si>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</si>
  <si>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</si>
  <si>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</si>
  <si>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</si>
  <si>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</si>
  <si>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</si>
  <si>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</si>
  <si>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</si>
  <si>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</si>
  <si>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</si>
  <si>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</si>
  <si>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</si>
  <si>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</si>
  <si>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</si>
  <si>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</si>
  <si>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</si>
  <si>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</si>
  <si>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</si>
  <si>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</si>
  <si>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</si>
  <si>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</si>
  <si>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</si>
  <si>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</si>
  <si>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</si>
  <si>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</si>
  <si>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</si>
  <si>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</si>
  <si>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</si>
  <si>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</si>
  <si>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</si>
  <si>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</si>
  <si>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</si>
  <si>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</si>
  <si>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</si>
  <si>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</si>
  <si>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</si>
  <si>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</si>
  <si>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</si>
  <si>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</si>
  <si>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</si>
  <si>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</si>
  <si>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</si>
  <si>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</si>
  <si>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</si>
  <si>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</si>
  <si>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</si>
  <si>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</si>
  <si>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</si>
  <si>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</si>
  <si>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</si>
  <si>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</si>
  <si>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</si>
  <si>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</si>
  <si>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</si>
  <si>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</si>
  <si>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</si>
  <si>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</si>
  <si>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</si>
  <si>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</si>
  <si>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</si>
  <si>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</si>
  <si>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</si>
  <si>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</si>
  <si>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</si>
  <si>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</si>
  <si>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</si>
  <si>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</si>
  <si>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</si>
  <si>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</si>
  <si>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</si>
  <si>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</si>
  <si>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</si>
  <si>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</si>
  <si>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</si>
  <si>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</si>
  <si>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</si>
  <si>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</si>
  <si>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</si>
  <si>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</si>
  <si>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</si>
  <si>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</si>
  <si>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</si>
  <si>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</si>
  <si>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</si>
  <si>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</si>
  <si>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</si>
  <si>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</si>
  <si>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</si>
  <si>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</si>
  <si>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</si>
  <si>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</si>
  <si>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</si>
  <si>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</si>
  <si>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</si>
  <si>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</si>
  <si>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</si>
  <si>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</si>
  <si>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</si>
  <si>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</si>
  <si>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</si>
  <si>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</si>
  <si>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</si>
  <si>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</si>
  <si>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</si>
  <si>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</si>
  <si>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</si>
  <si>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</si>
  <si>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</si>
  <si>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</si>
  <si>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</si>
  <si>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</si>
  <si>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</si>
  <si>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</si>
  <si>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</si>
  <si>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</si>
  <si>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</si>
  <si>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</si>
  <si>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</si>
  <si>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</si>
  <si>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</si>
  <si>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</si>
  <si>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</si>
  <si>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</si>
  <si>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</si>
  <si>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</si>
  <si>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</si>
  <si>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</si>
  <si>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</si>
  <si>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</si>
  <si>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</si>
  <si>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</si>
  <si>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</si>
  <si>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</si>
  <si>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</si>
  <si>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</si>
  <si>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</si>
  <si>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</si>
  <si>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</si>
  <si>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</si>
  <si>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</si>
  <si>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</si>
  <si>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</si>
  <si>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</si>
  <si>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</si>
  <si>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</si>
  <si>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</si>
  <si>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</si>
  <si>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</si>
  <si>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</si>
  <si>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</si>
  <si>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</si>
  <si>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</si>
  <si>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</si>
  <si>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</si>
  <si>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</si>
  <si>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</si>
  <si>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</si>
  <si>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</si>
  <si>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</si>
  <si>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</si>
  <si>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</si>
  <si>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</si>
  <si>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</si>
  <si>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</si>
  <si>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</si>
  <si>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</si>
  <si>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</si>
  <si>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</si>
  <si>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</si>
  <si>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</si>
  <si>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</si>
  <si>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</si>
  <si>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</si>
  <si>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</si>
  <si>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</si>
  <si>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</si>
  <si>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</si>
  <si>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</si>
  <si>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</si>
  <si>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</si>
  <si>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</si>
  <si>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</si>
  <si>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</si>
  <si>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</si>
  <si>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</si>
  <si>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</si>
  <si>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</si>
  <si>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</si>
  <si>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</si>
  <si>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</si>
  <si>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</si>
  <si>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</si>
  <si>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</si>
  <si>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</si>
  <si>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</si>
  <si>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</si>
  <si>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</si>
  <si>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</si>
  <si>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</si>
  <si>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</si>
  <si>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</si>
  <si>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</si>
  <si>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</si>
  <si>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</si>
  <si>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</si>
  <si>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</si>
  <si>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</si>
  <si>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</si>
  <si>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</si>
  <si>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</si>
  <si>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</si>
  <si>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</si>
  <si>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</si>
  <si>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</si>
  <si>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</si>
  <si>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</si>
  <si>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</si>
  <si>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</si>
  <si>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</si>
  <si>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</si>
  <si>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</si>
  <si>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</si>
  <si>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</si>
  <si>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</si>
  <si>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</si>
  <si>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</si>
  <si>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</si>
  <si>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</si>
  <si>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</si>
  <si>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</si>
  <si>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</si>
  <si>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</si>
  <si>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</si>
  <si>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</si>
  <si>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</si>
  <si>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</si>
  <si>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</si>
  <si>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</si>
  <si>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</si>
  <si>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</si>
  <si>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</si>
  <si>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</si>
  <si>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</si>
  <si>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</si>
  <si>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</si>
  <si>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</si>
  <si>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</si>
  <si>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</si>
  <si>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</si>
  <si>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</si>
  <si>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</si>
  <si>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</si>
  <si>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</si>
  <si>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</si>
  <si>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</si>
  <si>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</si>
  <si>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</si>
  <si>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</si>
  <si>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</si>
  <si>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</si>
  <si>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</si>
  <si>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</si>
  <si>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</si>
  <si>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</si>
  <si>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</si>
  <si>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</si>
  <si>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</si>
  <si>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</si>
  <si>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</si>
  <si>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</si>
  <si>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</si>
  <si>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</si>
  <si>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</si>
  <si>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</si>
  <si>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</si>
  <si>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</si>
  <si>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</si>
  <si>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</si>
  <si>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</si>
  <si>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</si>
  <si>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</si>
  <si>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</si>
  <si>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</si>
  <si>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</si>
  <si>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</si>
  <si>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</si>
  <si>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</si>
  <si>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</si>
  <si>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</si>
  <si>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</si>
  <si>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</si>
  <si>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</si>
  <si>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</si>
  <si>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</si>
  <si>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</si>
  <si>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</si>
  <si>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</si>
  <si>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</si>
  <si>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</si>
  <si>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</si>
  <si>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</si>
  <si>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</si>
  <si>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</si>
  <si>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</si>
  <si>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</si>
  <si>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</si>
  <si>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</si>
  <si>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</si>
  <si>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</si>
  <si>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</si>
  <si>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</si>
  <si>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</si>
  <si>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</si>
  <si>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</si>
  <si>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</si>
  <si>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</si>
  <si>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</si>
  <si>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</si>
  <si>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</si>
  <si>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</si>
  <si>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</si>
  <si>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</si>
  <si>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</si>
  <si>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</si>
  <si>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</si>
  <si>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</si>
  <si>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</si>
  <si>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</si>
  <si>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</si>
  <si>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</si>
  <si>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</si>
  <si>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</si>
  <si>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</si>
  <si>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</si>
  <si>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</si>
  <si>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</si>
  <si>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</si>
  <si>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</si>
  <si>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</si>
  <si>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</si>
  <si>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</si>
  <si>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</si>
  <si>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</si>
  <si>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</si>
  <si>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</si>
  <si>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</si>
  <si>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</si>
  <si>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</si>
  <si>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</si>
  <si>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</si>
  <si>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</si>
  <si>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</si>
  <si>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</si>
  <si>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</si>
  <si>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</si>
  <si>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</si>
  <si>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</si>
  <si>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</si>
  <si>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</si>
  <si>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</si>
  <si>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</si>
  <si>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</si>
  <si>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</si>
  <si>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</si>
  <si>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</si>
  <si>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</si>
  <si>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</si>
  <si>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</si>
  <si>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</si>
  <si>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</si>
  <si>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</si>
  <si>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</si>
  <si>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</si>
  <si>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</si>
  <si>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</si>
  <si>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</si>
  <si>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</si>
  <si>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</si>
  <si>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</si>
  <si>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</si>
  <si>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</si>
  <si>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</si>
  <si>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</si>
  <si>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</si>
  <si>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</si>
  <si>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</si>
  <si>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</si>
  <si>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</si>
  <si>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</si>
  <si>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</si>
  <si>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</si>
  <si>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</si>
  <si>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</si>
  <si>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</si>
  <si>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</si>
  <si>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</si>
  <si>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</si>
  <si>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</si>
  <si>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</si>
  <si>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</si>
  <si>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</si>
  <si>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</si>
  <si>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</si>
  <si>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</si>
  <si>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</si>
  <si>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</si>
  <si>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</si>
  <si>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</si>
  <si>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</si>
  <si>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</si>
  <si>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</si>
  <si>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</si>
  <si>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</si>
  <si>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</si>
  <si>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</si>
  <si>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</si>
  <si>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</si>
  <si>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</si>
  <si>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</si>
  <si>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</si>
  <si>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</si>
  <si>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</si>
  <si>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</si>
  <si>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</si>
  <si>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</si>
  <si>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</si>
  <si>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</si>
  <si>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</si>
  <si>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</si>
  <si>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</si>
  <si>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</si>
  <si>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</si>
  <si>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</si>
  <si>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</si>
  <si>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</si>
  <si>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</si>
  <si>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</si>
  <si>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</si>
  <si>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</si>
  <si>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</si>
  <si>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</si>
  <si>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</si>
  <si>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</si>
  <si>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</si>
  <si>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</si>
  <si>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</si>
  <si>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</si>
  <si>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</si>
  <si>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</si>
  <si>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</si>
  <si>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</si>
  <si>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</si>
  <si>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</si>
  <si>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</si>
  <si>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</si>
  <si>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</si>
  <si>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</si>
  <si>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</si>
  <si>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</si>
  <si>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</si>
  <si>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</si>
  <si>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</si>
  <si>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</si>
  <si>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</si>
  <si>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</si>
  <si>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</si>
  <si>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</si>
  <si>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</si>
  <si>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</si>
  <si>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</si>
  <si>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</si>
  <si>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</si>
  <si>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</si>
  <si>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</si>
  <si>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</si>
  <si>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</si>
  <si>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</si>
  <si>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</si>
  <si>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</si>
  <si>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</si>
  <si>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</si>
  <si>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</si>
  <si>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</si>
  <si>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</si>
  <si>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</si>
  <si>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</si>
  <si>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</si>
  <si>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</si>
  <si>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</si>
  <si>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</si>
  <si>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</si>
  <si>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</si>
  <si>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</si>
  <si>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</si>
  <si>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</si>
  <si>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</si>
  <si>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</si>
  <si>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</si>
  <si>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</si>
  <si>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</si>
  <si>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</si>
  <si>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</si>
  <si>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</si>
  <si>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</si>
  <si>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</si>
  <si>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</si>
  <si>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</si>
  <si>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</si>
  <si>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</si>
  <si>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</si>
  <si>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</si>
  <si>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</si>
  <si>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</si>
  <si>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</si>
  <si>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</si>
  <si>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</si>
  <si>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</si>
  <si>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</si>
  <si>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</si>
  <si>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</si>
  <si>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</si>
  <si>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</si>
  <si>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</si>
  <si>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</si>
  <si>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</si>
  <si>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</si>
  <si>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</si>
  <si>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</si>
  <si>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</si>
  <si>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</si>
  <si>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</si>
  <si>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</si>
  <si>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</si>
  <si>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</si>
  <si>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</si>
  <si>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</si>
  <si>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</si>
  <si>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</si>
  <si>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</si>
  <si>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</si>
  <si>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</si>
  <si>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</si>
  <si>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</si>
  <si>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</si>
  <si>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</si>
  <si>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</si>
  <si>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</si>
  <si>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</si>
  <si>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</si>
  <si>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</si>
  <si>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</si>
  <si>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</si>
  <si>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</si>
  <si>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</si>
  <si>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</si>
  <si>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</si>
  <si>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</si>
  <si>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</si>
  <si>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</si>
  <si>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</si>
  <si>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</si>
  <si>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</si>
  <si>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</si>
  <si>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</si>
  <si>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</si>
  <si>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</si>
  <si>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</si>
  <si>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</si>
  <si>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</si>
  <si>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</si>
  <si>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</si>
  <si>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</si>
  <si>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</si>
  <si>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</si>
  <si>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</si>
  <si>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</si>
  <si>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</si>
  <si>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</si>
  <si>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</si>
  <si>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</si>
  <si>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</si>
  <si>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</si>
  <si>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</si>
  <si>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</si>
  <si>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</si>
  <si>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</si>
  <si>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</si>
  <si>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</si>
  <si>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</si>
  <si>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</si>
  <si>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</si>
  <si>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</si>
  <si>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</si>
  <si>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</si>
  <si>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</si>
  <si>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</si>
  <si>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</si>
  <si>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</si>
  <si>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</si>
  <si>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</si>
  <si>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</si>
  <si>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</si>
  <si>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</si>
  <si>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</si>
  <si>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</si>
  <si>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</si>
  <si>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</si>
  <si>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</si>
  <si>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</si>
  <si>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</si>
  <si>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</si>
  <si>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</si>
  <si>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</si>
  <si>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</si>
  <si>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</si>
  <si>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</si>
  <si>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</si>
  <si>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</si>
  <si>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</si>
  <si>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</si>
  <si>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</si>
  <si>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</si>
  <si>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</si>
  <si>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</si>
  <si>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</si>
  <si>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</si>
  <si>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</si>
  <si>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</si>
  <si>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</si>
  <si>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</si>
  <si>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</si>
  <si>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</si>
  <si>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</si>
  <si>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</si>
  <si>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</si>
  <si>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</si>
  <si>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</si>
  <si>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</si>
  <si>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</si>
  <si>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</si>
  <si>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</si>
  <si>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</si>
  <si>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</si>
  <si>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</si>
  <si>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</si>
  <si>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</si>
  <si>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</si>
  <si>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</si>
  <si>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</si>
  <si>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</si>
  <si>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</si>
  <si>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</si>
  <si>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</si>
  <si>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</si>
  <si>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</si>
  <si>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</si>
  <si>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</si>
  <si>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</si>
  <si>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</si>
  <si>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</si>
  <si>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</si>
  <si>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</si>
  <si>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</si>
  <si>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</si>
  <si>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</si>
  <si>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</si>
  <si>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</si>
  <si>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</si>
  <si>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</si>
  <si>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</si>
  <si>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</si>
  <si>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</si>
  <si>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</si>
  <si>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</si>
  <si>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</si>
  <si>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</si>
  <si>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</si>
  <si>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</si>
  <si>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</si>
  <si>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</si>
  <si>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</si>
  <si>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</si>
  <si>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</si>
  <si>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</si>
  <si>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</si>
  <si>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</si>
  <si>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</si>
  <si>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</si>
  <si>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</si>
  <si>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</si>
  <si>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</si>
  <si>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</si>
  <si>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</si>
  <si>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</si>
  <si>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</si>
  <si>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</si>
  <si>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</si>
  <si>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</si>
  <si>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</si>
  <si>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</si>
  <si>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</si>
  <si>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</si>
  <si>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</si>
  <si>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</si>
  <si>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</si>
  <si>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</si>
  <si>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</si>
  <si>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</si>
  <si>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</si>
  <si>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</si>
  <si>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</si>
  <si>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</si>
  <si>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</si>
  <si>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</si>
  <si>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</si>
  <si>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</si>
  <si>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</si>
  <si>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</si>
  <si>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</si>
  <si>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</si>
  <si>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</si>
  <si>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</si>
  <si>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</si>
  <si>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</si>
  <si>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</si>
  <si>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</si>
  <si>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</si>
  <si>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</si>
  <si>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</si>
  <si>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</si>
  <si>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</si>
  <si>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</si>
  <si>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</si>
  <si>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</si>
  <si>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</si>
  <si>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</si>
  <si>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</si>
  <si>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</si>
  <si>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</si>
  <si>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</si>
  <si>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</si>
  <si>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</si>
  <si>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</si>
  <si>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</si>
  <si>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</si>
  <si>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</si>
  <si>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</si>
  <si>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</si>
  <si>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</si>
  <si>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</si>
  <si>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</si>
  <si>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</si>
  <si>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</si>
  <si>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</si>
  <si>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</si>
  <si>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</si>
  <si>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</si>
  <si>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</si>
  <si>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</si>
  <si>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</si>
  <si>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</si>
  <si>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</si>
  <si>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</si>
  <si>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</si>
  <si>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</si>
  <si>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</si>
  <si>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</si>
  <si>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</si>
  <si>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</si>
  <si>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</si>
  <si>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</si>
  <si>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</si>
  <si>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</si>
  <si>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</si>
  <si>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</si>
  <si>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</si>
  <si>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</si>
  <si>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</si>
  <si>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</si>
  <si>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</si>
  <si>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</si>
  <si>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</si>
  <si>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</si>
  <si>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</si>
  <si>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</si>
  <si>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</si>
  <si>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</si>
  <si>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</si>
  <si>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</si>
  <si>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</si>
  <si>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</si>
  <si>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</si>
  <si>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</si>
  <si>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</si>
  <si>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</si>
  <si>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</si>
  <si>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</si>
  <si>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</si>
  <si>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</si>
  <si>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</si>
  <si>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</si>
  <si>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</si>
  <si>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</si>
  <si>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</si>
  <si>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</si>
  <si>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</si>
  <si>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</si>
  <si>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</si>
  <si>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</si>
  <si>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</si>
  <si>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</si>
  <si>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</si>
  <si>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</si>
  <si>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</si>
  <si>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</si>
  <si>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</si>
  <si>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</si>
  <si>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</si>
  <si>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</si>
  <si>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</si>
  <si>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</si>
  <si>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</si>
  <si>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</si>
  <si>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</si>
  <si>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</si>
  <si>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</si>
  <si>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</si>
  <si>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</si>
  <si>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</si>
  <si>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</si>
  <si>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</si>
  <si>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</si>
  <si>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</si>
  <si>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</si>
  <si>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</si>
  <si>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</si>
  <si>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</si>
  <si>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</si>
  <si>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</si>
  <si>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</si>
  <si>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</si>
  <si>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</si>
  <si>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</si>
  <si>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</si>
  <si>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</si>
  <si>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</si>
  <si>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</si>
  <si>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</si>
  <si>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</si>
  <si>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</si>
  <si>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</si>
  <si>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</si>
  <si>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</si>
  <si>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</si>
  <si>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</si>
  <si>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</si>
  <si>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</si>
  <si>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</si>
  <si>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</si>
  <si>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</si>
  <si>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</si>
  <si>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</si>
  <si>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</si>
  <si>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</si>
  <si>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</si>
  <si>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</si>
  <si>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</si>
  <si>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</si>
  <si>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</si>
  <si>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</si>
  <si>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</si>
  <si>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</si>
  <si>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</si>
  <si>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</si>
  <si>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</si>
  <si>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</si>
  <si>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</si>
  <si>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</si>
  <si>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</si>
  <si>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</si>
  <si>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</si>
  <si>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</si>
  <si>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</si>
  <si>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</si>
  <si>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</si>
  <si>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</si>
  <si>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</si>
  <si>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</si>
  <si>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</si>
  <si>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</si>
  <si>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</si>
  <si>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</si>
  <si>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</si>
  <si>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</si>
  <si>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</si>
  <si>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</si>
  <si>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</si>
  <si>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</si>
  <si>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</si>
  <si>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</si>
  <si>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</si>
  <si>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</si>
  <si>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</si>
  <si>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</si>
  <si>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</si>
  <si>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</si>
  <si>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</si>
  <si>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</si>
  <si>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</si>
  <si>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</si>
  <si>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</si>
  <si>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</si>
  <si>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</si>
  <si>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</si>
  <si>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</si>
  <si>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</si>
  <si>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</si>
  <si>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</si>
  <si>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</si>
  <si>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</si>
  <si>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</si>
  <si>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</si>
  <si>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</si>
  <si>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</si>
  <si>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</si>
  <si>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</si>
  <si>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</si>
  <si>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</si>
  <si>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</si>
  <si>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</si>
  <si>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</si>
  <si>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</si>
  <si>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</si>
  <si>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</si>
  <si>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</si>
  <si>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</si>
  <si>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</si>
  <si>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</si>
  <si>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</si>
  <si>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</si>
  <si>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</si>
  <si>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</si>
  <si>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</si>
  <si>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</si>
  <si>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</si>
  <si>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</si>
  <si>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</si>
  <si>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</si>
  <si>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</si>
  <si>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</si>
  <si>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</si>
  <si>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</si>
  <si>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</si>
  <si>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</si>
  <si>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</si>
  <si>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</si>
  <si>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</si>
  <si>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</si>
  <si>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</si>
  <si>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</si>
  <si>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</si>
  <si>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</si>
  <si>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</si>
  <si>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</si>
  <si>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</si>
  <si>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</si>
  <si>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</si>
  <si>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</si>
  <si>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</si>
  <si>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</si>
  <si>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</si>
  <si>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</si>
  <si>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</si>
  <si>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</si>
  <si>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</si>
  <si>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</si>
  <si>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</si>
  <si>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</si>
  <si>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</si>
  <si>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</si>
  <si>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</si>
  <si>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</si>
  <si>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</si>
  <si>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</si>
  <si>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</si>
  <si>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</si>
  <si>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</si>
  <si>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</si>
  <si>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</si>
  <si>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</si>
  <si>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</si>
  <si>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</si>
  <si>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</si>
  <si>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</si>
  <si>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</si>
  <si>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</si>
  <si>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</si>
  <si>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</si>
  <si>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</si>
  <si>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</si>
  <si>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</si>
  <si>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</si>
  <si>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</si>
  <si>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</si>
  <si>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</si>
  <si>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</si>
  <si>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</si>
  <si>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</si>
  <si>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</si>
  <si>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</si>
  <si>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</si>
  <si>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</si>
  <si>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</si>
  <si>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</si>
  <si>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</si>
  <si>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</si>
  <si>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</si>
  <si>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</si>
  <si>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</si>
  <si>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</si>
  <si>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</si>
  <si>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</si>
  <si>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</si>
  <si>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</si>
  <si>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</si>
  <si>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</si>
  <si>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</si>
  <si>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</si>
  <si>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</si>
  <si>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</si>
  <si>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</si>
  <si>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</si>
  <si>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</si>
  <si>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</si>
  <si>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</si>
  <si>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</si>
  <si>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</si>
  <si>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</si>
  <si>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</si>
  <si>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</si>
  <si>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</si>
  <si>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</si>
  <si>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</si>
  <si>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</si>
  <si>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</si>
  <si>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</si>
  <si>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</si>
  <si>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</si>
  <si>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</si>
  <si>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</si>
  <si>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</si>
  <si>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</si>
  <si>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</si>
  <si>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</si>
  <si>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</si>
  <si>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</si>
  <si>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</si>
  <si>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</si>
  <si>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</si>
  <si>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</si>
  <si>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</si>
  <si>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</si>
  <si>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</si>
  <si>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</si>
  <si>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</si>
  <si>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</si>
  <si>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</si>
  <si>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</si>
  <si>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</si>
  <si>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</si>
  <si>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</si>
  <si>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</si>
  <si>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</si>
  <si>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</si>
  <si>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</si>
  <si>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</si>
  <si>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</si>
  <si>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</si>
  <si>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</si>
  <si>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</si>
  <si>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</si>
  <si>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</si>
  <si>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</si>
  <si>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</si>
  <si>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</si>
  <si>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</si>
  <si>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</si>
  <si>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</si>
  <si>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</si>
  <si>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</si>
  <si>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</si>
  <si>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</si>
  <si>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</si>
  <si>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</si>
  <si>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</si>
  <si>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</si>
  <si>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</si>
  <si>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</si>
  <si>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</si>
  <si>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</si>
  <si>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</si>
  <si>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</si>
  <si>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</si>
  <si>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</si>
  <si>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</si>
  <si>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</si>
  <si>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</si>
  <si>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</si>
  <si>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</si>
  <si>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</si>
  <si>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</si>
  <si>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</si>
  <si>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</si>
  <si>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</si>
  <si>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</si>
  <si>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</si>
  <si>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</si>
  <si>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</si>
  <si>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</si>
  <si>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</si>
  <si>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</si>
  <si>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</si>
  <si>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</si>
  <si>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</si>
  <si>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</si>
  <si>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</si>
  <si>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</si>
  <si>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</si>
  <si>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</si>
  <si>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</si>
  <si>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</si>
  <si>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</si>
  <si>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</si>
  <si>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</si>
  <si>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</si>
  <si>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</si>
  <si>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</si>
  <si>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</si>
  <si>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</si>
  <si>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</si>
  <si>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</si>
  <si>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</si>
  <si>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</si>
  <si>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</si>
  <si>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</si>
  <si>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</si>
  <si>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</si>
  <si>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</si>
  <si>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</si>
  <si>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</si>
  <si>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</si>
  <si>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</si>
  <si>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</si>
  <si>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</si>
  <si>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</si>
  <si>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</si>
  <si>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</si>
  <si>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</si>
  <si>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</si>
  <si>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</si>
  <si>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</si>
  <si>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</si>
  <si>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</si>
  <si>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</si>
  <si>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</si>
  <si>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</si>
  <si>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</si>
  <si>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</si>
  <si>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</si>
  <si>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</si>
  <si>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</si>
  <si>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</si>
  <si>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</si>
  <si>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</si>
  <si>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</si>
  <si>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</si>
  <si>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</si>
  <si>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</si>
  <si>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</si>
  <si>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</si>
  <si>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</si>
  <si>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</si>
  <si>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</si>
  <si>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</si>
  <si>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</si>
  <si>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</si>
  <si>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</si>
  <si>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</si>
  <si>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</si>
  <si>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</si>
  <si>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</si>
  <si>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</si>
  <si>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</si>
  <si>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</si>
  <si>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</si>
  <si>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</si>
  <si>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</si>
  <si>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</si>
  <si>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</si>
  <si>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</si>
  <si>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</si>
  <si>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</si>
  <si>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</si>
  <si>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</si>
  <si>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</si>
  <si>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</si>
  <si>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</si>
  <si>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</si>
  <si>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</si>
  <si>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</si>
  <si>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</si>
  <si>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</si>
  <si>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</si>
  <si>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</si>
  <si>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</si>
  <si>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</si>
  <si>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</si>
  <si>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</si>
  <si>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</si>
  <si>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</si>
  <si>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</si>
  <si>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</si>
  <si>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</si>
  <si>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</si>
  <si>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</si>
  <si>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</si>
  <si>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</si>
  <si>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</si>
  <si>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</si>
  <si>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</si>
  <si>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</si>
  <si>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</si>
  <si>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</si>
  <si>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</si>
  <si>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</si>
  <si>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</si>
  <si>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</si>
  <si>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</si>
  <si>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</si>
  <si>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</si>
  <si>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</si>
  <si>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</si>
  <si>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</si>
  <si>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</si>
  <si>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</si>
  <si>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</si>
  <si>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</si>
  <si>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</si>
  <si>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</si>
  <si>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</si>
  <si>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</si>
  <si>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</si>
  <si>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</si>
  <si>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</si>
  <si>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</si>
  <si>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</si>
  <si>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</si>
  <si>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</si>
  <si>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</si>
  <si>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</si>
  <si>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</si>
  <si>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</si>
  <si>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</si>
  <si>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</si>
  <si>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</si>
  <si>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</si>
  <si>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</si>
  <si>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</si>
  <si>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</si>
  <si>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</si>
  <si>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</si>
  <si>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</si>
  <si>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</si>
  <si>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</si>
  <si>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</si>
  <si>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</si>
  <si>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</si>
  <si>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</si>
  <si>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</si>
  <si>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</si>
  <si>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</si>
  <si>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</si>
  <si>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</si>
  <si>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</si>
  <si>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</si>
  <si>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</si>
  <si>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</si>
  <si>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</si>
  <si>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</si>
  <si>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</si>
  <si>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</si>
  <si>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</si>
  <si>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</si>
  <si>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</si>
  <si>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</si>
  <si>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</si>
  <si>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</si>
  <si>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</si>
  <si>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</si>
  <si>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</si>
  <si>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</si>
  <si>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</si>
  <si>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</si>
  <si>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</si>
  <si>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</si>
  <si>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</si>
  <si>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</si>
  <si>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</si>
  <si>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</si>
  <si>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</si>
  <si>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</si>
  <si>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</si>
  <si>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</si>
  <si>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</si>
  <si>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</si>
  <si>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</si>
  <si>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</si>
  <si>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</si>
  <si>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</si>
  <si>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</si>
  <si>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</si>
  <si>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</si>
  <si>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</si>
  <si>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</si>
  <si>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</si>
  <si>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</si>
  <si>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</si>
  <si>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</si>
  <si>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</si>
  <si>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</si>
  <si>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</si>
  <si>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</si>
  <si>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</si>
  <si>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</si>
  <si>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</si>
  <si>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</si>
  <si>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</si>
  <si>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</si>
  <si>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</si>
  <si>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</si>
  <si>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</si>
  <si>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</si>
  <si>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</si>
  <si>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</si>
  <si>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</si>
  <si>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</si>
  <si>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</si>
  <si>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</si>
  <si>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</si>
  <si>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</si>
  <si>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</si>
  <si>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</si>
  <si>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</si>
  <si>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</si>
  <si>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</si>
  <si>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</si>
  <si>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</si>
  <si>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</si>
  <si>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</si>
  <si>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</si>
  <si>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</si>
  <si>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</si>
  <si>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</si>
  <si>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</si>
  <si>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</si>
  <si>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</si>
  <si>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</si>
  <si>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</si>
  <si>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</si>
  <si>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</si>
  <si>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</si>
  <si>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</si>
  <si>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</si>
  <si>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</si>
  <si>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</si>
  <si>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</si>
  <si>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</si>
  <si>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</si>
  <si>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</si>
  <si>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</si>
  <si>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</si>
  <si>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</si>
  <si>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</si>
  <si>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</si>
  <si>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</si>
  <si>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</si>
  <si>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</si>
  <si>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</si>
  <si>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</si>
  <si>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</si>
  <si>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</si>
  <si>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</si>
  <si>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</si>
  <si>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</si>
  <si>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</si>
  <si>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</si>
  <si>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</si>
  <si>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</si>
  <si>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</si>
  <si>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</si>
  <si>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</si>
  <si>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</si>
  <si>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</si>
  <si>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</si>
  <si>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</si>
  <si>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</si>
  <si>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</si>
  <si>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</si>
  <si>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</si>
  <si>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</si>
  <si>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</si>
  <si>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</si>
  <si>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</si>
  <si>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</si>
  <si>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</si>
  <si>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</si>
  <si>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</si>
  <si>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</si>
  <si>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</si>
  <si>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</si>
  <si>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</si>
  <si>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</si>
  <si>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</si>
  <si>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</si>
  <si>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</si>
  <si>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</si>
  <si>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</si>
  <si>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</si>
  <si>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</si>
  <si>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</si>
  <si>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</si>
  <si>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</si>
  <si>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</si>
  <si>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</si>
  <si>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</si>
  <si>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</si>
  <si>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</si>
  <si>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</si>
  <si>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</si>
  <si>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</si>
  <si>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</si>
  <si>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</si>
  <si>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</si>
  <si>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</si>
  <si>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</si>
  <si>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</si>
  <si>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</si>
  <si>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</si>
  <si>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</si>
  <si>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</si>
  <si>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</si>
  <si>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</si>
  <si>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</si>
  <si>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</si>
  <si>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</si>
  <si>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</si>
  <si>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</si>
  <si>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</si>
  <si>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</si>
  <si>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</si>
  <si>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</si>
  <si>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</si>
  <si>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</si>
  <si>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</si>
  <si>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</si>
  <si>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</si>
  <si>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</si>
  <si>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</si>
  <si>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</si>
  <si>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</si>
  <si>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</si>
  <si>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</si>
  <si>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</si>
  <si>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</si>
  <si>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</si>
  <si>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</si>
  <si>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</si>
  <si>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</si>
  <si>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</si>
  <si>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</si>
  <si>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</si>
  <si>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</si>
  <si>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</si>
  <si>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</si>
  <si>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</si>
  <si>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</si>
  <si>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</si>
  <si>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</si>
  <si>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</si>
  <si>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</si>
  <si>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</si>
  <si>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</si>
  <si>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</si>
  <si>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</si>
  <si>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</si>
  <si>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</si>
  <si>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</si>
  <si>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</si>
  <si>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</si>
  <si>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</si>
  <si>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</si>
  <si>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</si>
  <si>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</si>
  <si>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</si>
  <si>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</si>
  <si>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</si>
  <si>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</si>
  <si>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</si>
  <si>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</si>
  <si>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</si>
  <si>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</si>
  <si>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</si>
  <si>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</si>
  <si>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</si>
  <si>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</si>
  <si>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</si>
  <si>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</si>
  <si>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</si>
  <si>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</si>
  <si>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</si>
  <si>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</si>
  <si>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</si>
  <si>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</si>
  <si>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</si>
  <si>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</si>
  <si>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</si>
  <si>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</si>
  <si>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</si>
  <si>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</si>
  <si>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</si>
  <si>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</si>
  <si>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</si>
  <si>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</si>
  <si>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</si>
  <si>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</si>
  <si>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</si>
  <si>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</si>
  <si>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</si>
  <si>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</si>
  <si>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</si>
  <si>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</si>
  <si>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</si>
  <si>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</si>
  <si>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</si>
  <si>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</si>
  <si>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</si>
  <si>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</si>
  <si>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</si>
  <si>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</si>
  <si>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</si>
  <si>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</si>
  <si>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</si>
  <si>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</si>
  <si>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</si>
  <si>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</si>
  <si>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</si>
  <si>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</si>
  <si>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</si>
  <si>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</si>
  <si>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</si>
  <si>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</si>
  <si>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</si>
  <si>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</si>
  <si>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</si>
  <si>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</si>
  <si>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</si>
  <si>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</si>
  <si>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</si>
  <si>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</si>
  <si>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</si>
  <si>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</si>
  <si>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</si>
  <si>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</si>
  <si>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</si>
  <si>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</si>
  <si>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</si>
  <si>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</si>
  <si>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</si>
  <si>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</si>
  <si>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</si>
  <si>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</si>
  <si>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</si>
  <si>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</si>
  <si>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</si>
  <si>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</si>
  <si>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</si>
  <si>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</si>
  <si>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</si>
  <si>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</si>
  <si>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</si>
  <si>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</si>
  <si>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</si>
  <si>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</si>
  <si>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</si>
  <si>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</si>
  <si>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</si>
  <si>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</si>
  <si>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</si>
  <si>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</si>
  <si>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</si>
  <si>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</si>
  <si>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</si>
  <si>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</si>
  <si>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</si>
  <si>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</si>
  <si>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</si>
  <si>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</si>
  <si>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</si>
  <si>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</si>
  <si>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</si>
  <si>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</si>
  <si>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</si>
  <si>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</si>
  <si>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</si>
  <si>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</si>
  <si>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</si>
  <si>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</si>
  <si>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</si>
  <si>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</si>
  <si>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</si>
  <si>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</si>
  <si>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</si>
  <si>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</si>
  <si>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</si>
  <si>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</si>
  <si>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</si>
  <si>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</si>
  <si>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</si>
  <si>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</si>
  <si>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</si>
  <si>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</si>
  <si>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</si>
  <si>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</si>
  <si>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</si>
  <si>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</si>
  <si>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</si>
  <si>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</si>
  <si>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</si>
  <si>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</si>
  <si>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</si>
  <si>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</si>
  <si>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</si>
  <si>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</si>
  <si>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</si>
  <si>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</si>
  <si>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</si>
  <si>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</si>
  <si>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</si>
  <si>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</si>
  <si>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</si>
  <si>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</si>
  <si>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</si>
  <si>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</si>
  <si>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</si>
  <si>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</si>
  <si>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</si>
  <si>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</si>
  <si>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</si>
  <si>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</si>
  <si>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</si>
  <si>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</si>
  <si>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</si>
  <si>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</si>
  <si>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</si>
  <si>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</si>
  <si>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</si>
  <si>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</si>
  <si>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</si>
  <si>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</si>
  <si>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</si>
  <si>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</si>
  <si>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</si>
  <si>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</si>
  <si>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</si>
  <si>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</si>
  <si>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</si>
  <si>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</si>
  <si>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</si>
  <si>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</si>
  <si>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</si>
  <si>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</si>
  <si>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</si>
  <si>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</si>
  <si>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</si>
  <si>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</si>
  <si>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</si>
  <si>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</si>
  <si>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</si>
  <si>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</si>
  <si>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</si>
  <si>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</si>
  <si>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</si>
  <si>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</si>
  <si>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</si>
  <si>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</si>
  <si>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</si>
  <si>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</si>
  <si>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</si>
  <si>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</si>
  <si>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</si>
  <si>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</si>
  <si>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</si>
  <si>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</si>
  <si>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</si>
  <si>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</si>
  <si>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</si>
  <si>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</si>
  <si>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</si>
  <si>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</si>
  <si>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</si>
  <si>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</si>
  <si>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</si>
  <si>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</si>
  <si>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</si>
  <si>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</si>
  <si>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</si>
  <si>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</si>
  <si>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</si>
  <si>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</si>
  <si>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</si>
  <si>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</si>
  <si>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</si>
  <si>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</si>
  <si>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</si>
  <si>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</si>
  <si>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</si>
  <si>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</si>
  <si>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</si>
  <si>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</si>
  <si>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</si>
  <si>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</si>
  <si>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</si>
  <si>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</si>
  <si>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</si>
  <si>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</si>
  <si>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</si>
  <si>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</si>
  <si>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</si>
  <si>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</si>
  <si>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</si>
  <si>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</si>
  <si>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</si>
  <si>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</si>
  <si>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</si>
  <si>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</si>
  <si>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</si>
  <si>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</si>
  <si>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</si>
  <si>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</si>
  <si>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</si>
  <si>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</si>
  <si>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</si>
  <si>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</si>
  <si>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</si>
  <si>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</si>
  <si>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</si>
  <si>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</si>
  <si>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</si>
  <si>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</si>
  <si>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</si>
  <si>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</si>
  <si>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</si>
  <si>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</si>
  <si>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</si>
  <si>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</si>
  <si>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</si>
  <si>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</si>
  <si>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</si>
  <si>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</si>
  <si>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</si>
  <si>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</si>
  <si>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</si>
  <si>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</si>
  <si>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</si>
  <si>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</si>
  <si>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</si>
  <si>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</si>
  <si>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</si>
  <si>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</si>
  <si>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</si>
  <si>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</si>
  <si>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</si>
  <si>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</si>
  <si>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</si>
  <si>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</si>
  <si>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</si>
  <si>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</si>
  <si>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</si>
  <si>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</si>
  <si>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</si>
  <si>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</si>
  <si>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</si>
  <si>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</si>
  <si>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</si>
  <si>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</si>
  <si>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</si>
  <si>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</si>
  <si>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</si>
  <si>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</si>
  <si>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</si>
  <si>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</si>
  <si>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</si>
  <si>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</si>
  <si>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</si>
  <si>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</si>
  <si>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</si>
  <si>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</si>
  <si>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</si>
  <si>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</si>
  <si>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</si>
  <si>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</si>
  <si>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</si>
  <si>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</si>
  <si>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</si>
  <si>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</si>
  <si>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</si>
  <si>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</si>
  <si>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</si>
  <si>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</si>
  <si>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</si>
  <si>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</si>
  <si>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</si>
  <si>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</si>
  <si>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</si>
  <si>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</si>
  <si>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</si>
  <si>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</si>
  <si>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</si>
  <si>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</si>
  <si>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</si>
  <si>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</si>
  <si>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</si>
  <si>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</si>
  <si>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</si>
  <si>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</si>
  <si>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</si>
  <si>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</si>
  <si>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</si>
  <si>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</si>
  <si>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</si>
  <si>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</si>
  <si>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</si>
  <si>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</si>
  <si>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</si>
  <si>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</si>
  <si>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</si>
  <si>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</si>
  <si>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</si>
  <si>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</si>
  <si>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</si>
  <si>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</si>
  <si>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</si>
  <si>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</si>
  <si>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</si>
  <si>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</si>
  <si>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</si>
  <si>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</si>
  <si>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</si>
  <si>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</si>
  <si>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</si>
  <si>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</si>
  <si>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</si>
  <si>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</si>
  <si>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</si>
  <si>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</si>
  <si>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</si>
  <si>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</si>
  <si>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</si>
  <si>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</si>
  <si>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</si>
  <si>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</si>
  <si>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</si>
  <si>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</si>
  <si>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</si>
  <si>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</si>
  <si>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</si>
  <si>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</si>
  <si>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</si>
  <si>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</si>
  <si>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</si>
  <si>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</si>
  <si>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</si>
  <si>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</si>
  <si>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</si>
  <si>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</si>
  <si>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</si>
  <si>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</si>
  <si>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</si>
  <si>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</si>
  <si>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</si>
  <si>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</si>
  <si>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</si>
  <si>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</si>
  <si>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</si>
  <si>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</si>
  <si>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</si>
  <si>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</si>
  <si>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</si>
  <si>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</si>
  <si>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</si>
  <si>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</si>
  <si>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</si>
  <si>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</si>
  <si>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</si>
  <si>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</si>
  <si>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</si>
  <si>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</si>
  <si>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</si>
  <si>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</si>
  <si>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</si>
  <si>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</si>
  <si>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</si>
  <si>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</si>
  <si>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</si>
  <si>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</si>
  <si>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</si>
  <si>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</si>
  <si>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</si>
  <si>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</si>
  <si>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</si>
  <si>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</si>
  <si>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</si>
  <si>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</si>
  <si>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</si>
  <si>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</si>
  <si>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</si>
  <si>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</si>
  <si>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</si>
  <si>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</si>
  <si>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</si>
  <si>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</si>
  <si>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</si>
  <si>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</si>
  <si>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</si>
  <si>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</si>
  <si>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</si>
  <si>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</si>
  <si>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</si>
  <si>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</si>
  <si>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</si>
  <si>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</si>
  <si>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</si>
  <si>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</si>
  <si>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</si>
  <si>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</si>
  <si>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</si>
  <si>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</si>
  <si>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</si>
  <si>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</si>
  <si>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</si>
  <si>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</si>
  <si>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</si>
  <si>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</si>
  <si>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</si>
  <si>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</si>
  <si>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</si>
  <si>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</si>
  <si>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</si>
  <si>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</si>
  <si>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</si>
  <si>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</si>
  <si>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</si>
  <si>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</si>
  <si>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</si>
  <si>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</si>
  <si>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</si>
  <si>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</si>
  <si>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</si>
  <si>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</si>
  <si>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</si>
  <si>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</si>
  <si>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</si>
  <si>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</si>
  <si>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</si>
  <si>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</si>
  <si>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</si>
  <si>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</si>
  <si>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</si>
  <si>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</si>
  <si>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</si>
  <si>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</si>
  <si>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</si>
  <si>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</si>
  <si>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</si>
  <si>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</si>
  <si>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</si>
  <si>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</si>
  <si>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</si>
  <si>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</si>
  <si>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</si>
  <si>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</si>
  <si>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</si>
  <si>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</si>
  <si>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</si>
  <si>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</si>
  <si>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</si>
  <si>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</si>
  <si>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</si>
  <si>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</si>
  <si>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</si>
  <si>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</si>
  <si>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</si>
  <si>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</si>
  <si>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</si>
  <si>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</si>
  <si>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</si>
  <si>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</si>
  <si>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</si>
  <si>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</si>
  <si>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</si>
  <si>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</si>
  <si>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</si>
  <si>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</si>
  <si>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</si>
  <si>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</si>
  <si>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</si>
  <si>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</si>
  <si>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</si>
  <si>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</si>
  <si>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</si>
  <si>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</si>
  <si>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</si>
  <si>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</si>
  <si>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</si>
  <si>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</si>
  <si>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</si>
  <si>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</si>
  <si>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</si>
  <si>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</si>
  <si>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</si>
  <si>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</si>
  <si>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</si>
  <si>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</si>
  <si>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</si>
  <si>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</si>
  <si>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</si>
  <si>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</si>
  <si>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</si>
  <si>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</si>
  <si>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</si>
  <si>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</si>
  <si>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</si>
  <si>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</si>
  <si>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</si>
  <si>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</si>
  <si>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</si>
  <si>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</si>
  <si>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</si>
  <si>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</si>
  <si>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</si>
  <si>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</si>
  <si>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</si>
  <si>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</si>
  <si>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</si>
  <si>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</si>
  <si>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</si>
  <si>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</si>
  <si>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</si>
  <si>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</si>
  <si>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</si>
  <si>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</si>
  <si>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</si>
  <si>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</si>
  <si>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</si>
  <si>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</si>
  <si>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</si>
  <si>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</si>
  <si>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</si>
  <si>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</si>
  <si>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</si>
  <si>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</si>
  <si>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</si>
  <si>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</si>
  <si>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</si>
  <si>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</si>
  <si>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</si>
  <si>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</si>
  <si>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</si>
  <si>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</si>
  <si>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</si>
  <si>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</si>
  <si>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</si>
  <si>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</si>
  <si>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</si>
  <si>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</si>
  <si>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</si>
  <si>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</si>
  <si>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</si>
  <si>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</si>
  <si>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</si>
  <si>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</si>
  <si>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</si>
  <si>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</si>
  <si>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</si>
  <si>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</si>
  <si>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</si>
  <si>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</si>
  <si>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</si>
  <si>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</si>
  <si>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</si>
  <si>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</si>
  <si>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</si>
  <si>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</si>
  <si>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</si>
  <si>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</si>
  <si>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</si>
  <si>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</si>
  <si>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</si>
  <si>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</si>
  <si>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</si>
  <si>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</si>
  <si>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</si>
  <si>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</si>
  <si>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</si>
  <si>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</si>
  <si>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</si>
  <si>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</si>
  <si>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</si>
  <si>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</si>
  <si>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</si>
  <si>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</si>
  <si>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</si>
  <si>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</si>
  <si>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</si>
  <si>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</si>
  <si>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</si>
  <si>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</si>
  <si>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</si>
  <si>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</si>
  <si>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</si>
  <si>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</si>
  <si>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</si>
  <si>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</si>
  <si>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</si>
  <si>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</si>
  <si>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</si>
  <si>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</si>
  <si>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</si>
  <si>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</si>
  <si>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</si>
  <si>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</si>
  <si>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</si>
  <si>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</si>
  <si>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</si>
  <si>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</si>
  <si>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</si>
  <si>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</si>
  <si>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</si>
  <si>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</si>
  <si>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</si>
  <si>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</si>
  <si>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</si>
  <si>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</si>
  <si>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</si>
  <si>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</si>
  <si>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</si>
  <si>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</si>
  <si>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</si>
  <si>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</si>
  <si>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</si>
  <si>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</si>
  <si>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</si>
  <si>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</si>
  <si>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</si>
  <si>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</si>
  <si>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</si>
  <si>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</si>
  <si>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</si>
  <si>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</si>
  <si>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</si>
  <si>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</si>
  <si>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</si>
  <si>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</si>
  <si>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</si>
  <si>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</si>
  <si>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</si>
  <si>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</si>
  <si>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</si>
  <si>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</si>
  <si>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</si>
  <si>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</si>
  <si>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</si>
  <si>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</si>
  <si>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</si>
  <si>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</si>
  <si>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</si>
  <si>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</si>
  <si>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</si>
  <si>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</si>
  <si>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</si>
  <si>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</si>
  <si>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</si>
  <si>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</si>
  <si>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</si>
  <si>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</si>
  <si>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</si>
  <si>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</si>
  <si>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</si>
  <si>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</si>
  <si>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</si>
  <si>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</si>
  <si>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</si>
  <si>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</si>
  <si>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</si>
  <si>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</si>
  <si>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</si>
  <si>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</si>
  <si>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</si>
  <si>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</si>
  <si>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</si>
  <si>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</si>
  <si>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</si>
  <si>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</si>
  <si>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</si>
  <si>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</si>
  <si>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</si>
  <si>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</si>
  <si>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</si>
  <si>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</si>
  <si>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</si>
  <si>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</si>
  <si>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</si>
  <si>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</si>
  <si>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</si>
  <si>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</si>
  <si>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</si>
  <si>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</si>
  <si>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</si>
  <si>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</si>
  <si>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</si>
  <si>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</si>
  <si>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</si>
  <si>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</si>
  <si>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</si>
  <si>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</si>
  <si>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</si>
  <si>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</si>
  <si>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</si>
  <si>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</si>
  <si>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</si>
  <si>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</si>
  <si>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</si>
  <si>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</si>
  <si>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</si>
  <si>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</si>
  <si>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</si>
  <si>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</si>
  <si>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</si>
  <si>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</si>
  <si>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</si>
  <si>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</si>
  <si>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</si>
  <si>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</si>
  <si>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</si>
  <si>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</si>
  <si>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</si>
  <si>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</si>
  <si>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</si>
  <si>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</si>
  <si>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</si>
  <si>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</si>
  <si>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</si>
  <si>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</si>
  <si>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</si>
  <si>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</si>
  <si>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</si>
  <si>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</si>
  <si>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</si>
  <si>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</si>
  <si>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</si>
  <si>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</si>
  <si>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</si>
  <si>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</si>
  <si>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</si>
  <si>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</si>
  <si>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</si>
  <si>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</si>
  <si>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</si>
  <si>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</si>
  <si>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</si>
  <si>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</si>
  <si>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</si>
  <si>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</si>
  <si>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</si>
  <si>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</si>
  <si>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</si>
  <si>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</si>
  <si>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</si>
  <si>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</si>
  <si>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</si>
  <si>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</si>
  <si>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</si>
  <si>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</si>
  <si>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</si>
  <si>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</si>
  <si>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</si>
  <si>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</si>
  <si>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</si>
  <si>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</si>
  <si>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</si>
  <si>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</si>
  <si>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</si>
  <si>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</si>
  <si>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</si>
  <si>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</si>
  <si>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</si>
  <si>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</si>
  <si>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</si>
  <si>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</si>
  <si>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</si>
  <si>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</si>
  <si>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</si>
  <si>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</si>
  <si>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</si>
  <si>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</si>
  <si>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</si>
  <si>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</si>
  <si>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</si>
  <si>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</si>
  <si>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</si>
  <si>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</si>
  <si>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</si>
  <si>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</si>
  <si>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</si>
  <si>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</si>
  <si>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</si>
  <si>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</si>
  <si>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</si>
  <si>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</si>
  <si>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</si>
  <si>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</si>
  <si>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</si>
  <si>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</si>
  <si>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</si>
  <si>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</si>
  <si>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</si>
  <si>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</si>
  <si>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</si>
  <si>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</si>
  <si>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</si>
  <si>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</si>
  <si>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</si>
  <si>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</si>
  <si>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</si>
  <si>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</si>
  <si>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</si>
  <si>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</si>
  <si>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</si>
  <si>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</si>
  <si>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</si>
  <si>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</si>
  <si>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</si>
  <si>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</si>
  <si>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</si>
  <si>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</si>
  <si>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</si>
  <si>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</si>
  <si>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</si>
  <si>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</si>
  <si>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</si>
  <si>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</si>
  <si>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</si>
  <si>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</si>
  <si>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</si>
  <si>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</si>
  <si>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</si>
  <si>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</si>
  <si>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</si>
  <si>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</si>
  <si>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</si>
  <si>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</si>
  <si>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</si>
  <si>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</si>
  <si>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</si>
  <si>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</si>
  <si>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</si>
  <si>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</si>
  <si>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</si>
  <si>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</si>
  <si>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</si>
  <si>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</si>
  <si>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</si>
  <si>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</si>
  <si>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</si>
  <si>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</si>
  <si>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</si>
  <si>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</si>
  <si>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</si>
  <si>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</si>
  <si>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</si>
  <si>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</si>
  <si>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</si>
  <si>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</si>
  <si>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</si>
  <si>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</si>
  <si>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</si>
  <si>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</si>
  <si>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</si>
  <si>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</si>
  <si>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</si>
  <si>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</si>
  <si>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</si>
  <si>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</si>
  <si>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</si>
  <si>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</si>
  <si>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</si>
  <si>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</si>
  <si>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</si>
  <si>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</si>
  <si>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</si>
  <si>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</si>
  <si>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</si>
  <si>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</si>
  <si>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</si>
  <si>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</si>
  <si>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</si>
  <si>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</si>
  <si>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</si>
  <si>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</si>
  <si>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</si>
  <si>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</si>
  <si>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</si>
  <si>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</si>
  <si>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</si>
  <si>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</si>
  <si>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</si>
  <si>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</si>
  <si>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</si>
  <si>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</si>
  <si>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</si>
  <si>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</si>
  <si>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</si>
  <si>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</si>
  <si>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</si>
  <si>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</si>
  <si>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</si>
  <si>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</si>
  <si>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</si>
  <si>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</si>
  <si>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</si>
  <si>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</si>
  <si>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</si>
  <si>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</si>
  <si>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</si>
  <si>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</si>
  <si>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</si>
  <si>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</si>
  <si>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</si>
  <si>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</si>
  <si>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</si>
  <si>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</si>
  <si>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</si>
  <si>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</si>
  <si>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</si>
  <si>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</si>
  <si>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</si>
  <si>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</si>
  <si>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</si>
  <si>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</si>
  <si>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</si>
  <si>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</si>
  <si>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</si>
  <si>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</si>
  <si>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</si>
  <si>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</si>
  <si>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</si>
  <si>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</si>
  <si>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</si>
  <si>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</si>
  <si>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</si>
  <si>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</si>
  <si>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</si>
  <si>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</si>
  <si>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</si>
  <si>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</si>
  <si>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</si>
  <si>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</si>
  <si>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</si>
  <si>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</si>
  <si>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</si>
  <si>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</si>
  <si>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</si>
  <si>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</si>
  <si>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</si>
  <si>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</si>
  <si>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</si>
  <si>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</si>
  <si>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</si>
  <si>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</si>
  <si>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</si>
  <si>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</si>
  <si>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</si>
  <si>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</si>
  <si>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</si>
  <si>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</si>
  <si>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</si>
  <si>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</si>
  <si>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</si>
  <si>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</si>
  <si>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</si>
  <si>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</si>
  <si>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</si>
  <si>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</si>
  <si>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</si>
  <si>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</si>
  <si>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</si>
  <si>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</si>
  <si>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</si>
  <si>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</si>
  <si>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</si>
  <si>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</si>
  <si>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</si>
  <si>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</si>
  <si>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</si>
  <si>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</si>
  <si>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</si>
  <si>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</si>
  <si>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</si>
  <si>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</si>
  <si>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</si>
  <si>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</si>
  <si>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</si>
  <si>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</si>
  <si>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</si>
  <si>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</si>
  <si>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</si>
  <si>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</si>
  <si>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</si>
  <si>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</si>
  <si>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</si>
  <si>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</si>
  <si>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</si>
  <si>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</si>
  <si>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</si>
  <si>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</si>
  <si>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</si>
  <si>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</si>
  <si>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</si>
  <si>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</si>
  <si>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</si>
  <si>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</si>
  <si>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</si>
  <si>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</si>
  <si>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</si>
  <si>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</si>
  <si>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</si>
  <si>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</si>
  <si>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</si>
  <si>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</si>
  <si>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</si>
  <si>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</si>
  <si>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</si>
  <si>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</si>
  <si>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</si>
  <si>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</si>
  <si>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</si>
  <si>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</si>
  <si>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</si>
  <si>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</si>
  <si>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</si>
  <si>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</si>
  <si>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</si>
  <si>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</si>
  <si>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</si>
  <si>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</si>
  <si>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</si>
  <si>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</si>
  <si>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</si>
  <si>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</si>
  <si>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</si>
  <si>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</si>
  <si>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</si>
  <si>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</si>
  <si>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</si>
  <si>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</si>
  <si>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</si>
  <si>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</si>
  <si>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</si>
  <si>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</si>
  <si>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</si>
  <si>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</si>
  <si>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</si>
  <si>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</si>
  <si>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</si>
  <si>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</si>
  <si>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</si>
  <si>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</si>
  <si>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</si>
  <si>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</si>
  <si>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</si>
  <si>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</si>
  <si>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</si>
  <si>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</si>
  <si>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</si>
  <si>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</si>
  <si>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</si>
  <si>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</si>
  <si>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</si>
  <si>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</si>
  <si>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</si>
  <si>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</si>
  <si>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</si>
  <si>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</si>
  <si>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</si>
  <si>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</si>
  <si>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</si>
  <si>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</si>
  <si>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</si>
  <si>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</si>
  <si>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</si>
  <si>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</si>
  <si>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</si>
  <si>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</si>
  <si>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</si>
  <si>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</si>
  <si>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</si>
  <si>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</si>
  <si>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</si>
  <si>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</si>
  <si>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</si>
  <si>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</si>
  <si>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</si>
  <si>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</si>
  <si>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</si>
  <si>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</si>
  <si>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</si>
  <si>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</si>
  <si>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</si>
  <si>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</si>
  <si>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</si>
  <si>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</si>
  <si>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</si>
  <si>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</si>
  <si>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</si>
  <si>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</si>
  <si>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</si>
  <si>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</si>
  <si>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</si>
  <si>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</si>
  <si>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</si>
  <si>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</si>
  <si>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</si>
  <si>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</si>
  <si>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</si>
  <si>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</si>
  <si>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</si>
  <si>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</si>
  <si>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</si>
  <si>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</si>
  <si>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</si>
  <si>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</si>
  <si>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</si>
  <si>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</si>
  <si>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</si>
  <si>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</si>
  <si>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</si>
  <si>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</si>
  <si>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</si>
  <si>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</si>
  <si>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</si>
  <si>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</si>
  <si>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</si>
  <si>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</si>
  <si>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</si>
  <si>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</si>
  <si>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</si>
  <si>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</si>
  <si>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</si>
  <si>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</si>
  <si>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</si>
  <si>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</si>
  <si>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</si>
  <si>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</si>
  <si>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</si>
  <si>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</si>
  <si>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</si>
  <si>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</si>
  <si>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</si>
  <si>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</si>
  <si>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</si>
  <si>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</si>
  <si>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</si>
  <si>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</si>
  <si>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</si>
  <si>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</si>
  <si>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</si>
  <si>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</si>
  <si>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</si>
  <si>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</si>
  <si>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</si>
  <si>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</si>
  <si>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</si>
  <si>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</si>
  <si>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</si>
  <si>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</si>
  <si>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</si>
  <si>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</si>
  <si>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</si>
  <si>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</si>
  <si>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</si>
  <si>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</si>
  <si>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</si>
  <si>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</si>
  <si>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</si>
  <si>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</si>
  <si>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</si>
  <si>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</si>
  <si>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</si>
  <si>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</si>
  <si>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</si>
  <si>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</si>
  <si>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</si>
  <si>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</si>
  <si>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</si>
  <si>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</si>
  <si>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</si>
  <si>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</si>
  <si>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</si>
  <si>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</si>
  <si>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</si>
  <si>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</si>
  <si>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</si>
  <si>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</si>
  <si>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</si>
  <si>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</si>
  <si>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</si>
  <si>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</si>
  <si>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</si>
  <si>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</si>
  <si>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</si>
  <si>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</si>
  <si>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</si>
  <si>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</si>
  <si>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</si>
  <si>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</si>
  <si>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</si>
  <si>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</si>
  <si>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</si>
  <si>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</si>
  <si>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</si>
  <si>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</si>
  <si>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</si>
  <si>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</si>
  <si>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</si>
  <si>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</si>
  <si>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</si>
  <si>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</si>
  <si>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</si>
  <si>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</si>
  <si>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</si>
  <si>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</si>
  <si>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</si>
  <si>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</si>
  <si>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</si>
  <si>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</si>
  <si>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</si>
  <si>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</si>
  <si>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</si>
  <si>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</si>
  <si>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</si>
  <si>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</si>
  <si>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</si>
  <si>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</si>
  <si>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</si>
  <si>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</si>
  <si>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</si>
  <si>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</si>
  <si>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</si>
  <si>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</si>
  <si>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</si>
  <si>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</si>
  <si>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</si>
  <si>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</si>
  <si>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</si>
  <si>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</si>
  <si>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</si>
  <si>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</si>
  <si>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</si>
  <si>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</si>
  <si>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</si>
  <si>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</si>
  <si>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</si>
  <si>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</si>
  <si>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</si>
  <si>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</si>
  <si>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</si>
  <si>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</si>
  <si>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</si>
  <si>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</si>
  <si>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</si>
  <si>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</si>
  <si>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</si>
  <si>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</si>
  <si>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</si>
  <si>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</si>
  <si>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</si>
  <si>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</si>
  <si>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</si>
  <si>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</si>
  <si>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</si>
  <si>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</si>
  <si>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</si>
  <si>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</si>
  <si>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</si>
  <si>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</si>
  <si>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</si>
  <si>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</si>
  <si>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</si>
  <si>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</si>
  <si>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</si>
  <si>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</si>
  <si>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</si>
  <si>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</si>
  <si>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</si>
  <si>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</si>
  <si>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</si>
  <si>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</si>
  <si>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</si>
  <si>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</si>
  <si>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</si>
  <si>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</si>
  <si>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</si>
  <si>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</si>
  <si>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</si>
  <si>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</si>
  <si>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</si>
  <si>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</si>
  <si>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</si>
  <si>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</si>
  <si>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</si>
  <si>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</si>
  <si>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</si>
  <si>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</si>
  <si>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</si>
  <si>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</si>
  <si>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</si>
  <si>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</si>
  <si>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</si>
  <si>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</si>
  <si>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</si>
  <si>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</si>
  <si>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</si>
  <si>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</si>
  <si>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</si>
  <si>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</si>
  <si>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</si>
  <si>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</si>
  <si>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</si>
  <si>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</si>
  <si>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</si>
  <si>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</si>
  <si>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</si>
  <si>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</si>
  <si>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</si>
  <si>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</si>
  <si>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</si>
  <si>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</si>
  <si>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</si>
  <si>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</si>
  <si>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</si>
  <si>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</si>
  <si>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</si>
  <si>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</si>
  <si>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</si>
  <si>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</si>
  <si>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</si>
  <si>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</si>
  <si>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</si>
  <si>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</si>
  <si>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</si>
  <si>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</si>
  <si>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</si>
  <si>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</si>
  <si>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</si>
  <si>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</si>
  <si>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</si>
  <si>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</si>
  <si>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</si>
  <si>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</si>
  <si>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</si>
  <si>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</si>
  <si>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</si>
  <si>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</si>
  <si>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</si>
  <si>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</si>
  <si>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</si>
  <si>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</si>
  <si>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</si>
  <si>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</si>
  <si>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</si>
  <si>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</si>
  <si>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</si>
  <si>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</si>
  <si>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</si>
  <si>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</si>
  <si>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</si>
  <si>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</si>
  <si>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</si>
  <si>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</si>
  <si>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</si>
  <si>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</si>
  <si>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</si>
  <si>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</si>
  <si>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</si>
  <si>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</si>
  <si>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</si>
  <si>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</si>
  <si>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</si>
  <si>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</si>
  <si>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</si>
  <si>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</si>
  <si>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</si>
  <si>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</si>
  <si>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</si>
  <si>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</si>
  <si>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</si>
  <si>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</si>
  <si>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</si>
  <si>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</si>
  <si>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</si>
  <si>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</si>
  <si>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</si>
  <si>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</si>
  <si>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</si>
  <si>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</si>
  <si>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</si>
  <si>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</si>
  <si>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</si>
  <si>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</si>
  <si>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</si>
  <si>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</si>
  <si>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</si>
  <si>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</si>
  <si>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</si>
  <si>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</si>
  <si>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</si>
  <si>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</si>
  <si>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</si>
  <si>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</si>
  <si>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</si>
  <si>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</si>
  <si>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</si>
  <si>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</si>
  <si>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</si>
  <si>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</si>
  <si>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</si>
  <si>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</si>
  <si>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</si>
  <si>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</si>
  <si>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</si>
  <si>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</si>
  <si>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</si>
  <si>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</si>
  <si>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</si>
  <si>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</si>
  <si>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</si>
  <si>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</si>
  <si>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</si>
  <si>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</si>
  <si>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</si>
  <si>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</si>
  <si>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</si>
  <si>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</si>
  <si>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</si>
  <si>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</si>
  <si>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</si>
  <si>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</si>
  <si>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</si>
  <si>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</si>
  <si>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</si>
  <si>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</si>
  <si>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</si>
  <si>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</si>
  <si>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</si>
  <si>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</si>
  <si>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</si>
  <si>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</si>
  <si>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</si>
  <si>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</si>
  <si>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</si>
  <si>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</si>
  <si>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</si>
  <si>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</si>
  <si>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</si>
  <si>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</si>
  <si>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</si>
  <si>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</si>
  <si>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</si>
  <si>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</si>
  <si>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</si>
  <si>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</si>
  <si>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</si>
  <si>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</si>
  <si>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</si>
  <si>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</si>
  <si>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</si>
  <si>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</si>
  <si>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</si>
  <si>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</si>
  <si>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</si>
  <si>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</si>
  <si>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</si>
  <si>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</si>
  <si>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</si>
  <si>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</si>
  <si>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</si>
  <si>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</si>
  <si>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</si>
  <si>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</si>
  <si>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</si>
  <si>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</si>
  <si>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</si>
  <si>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</si>
  <si>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</si>
  <si>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</si>
  <si>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</si>
  <si>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</si>
  <si>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</si>
  <si>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</si>
  <si>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</si>
  <si>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</si>
  <si>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</si>
  <si>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</si>
  <si>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</si>
  <si>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</si>
  <si>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</si>
  <si>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</si>
  <si>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</si>
  <si>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</si>
  <si>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</si>
  <si>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</si>
  <si>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</si>
  <si>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</si>
  <si>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</si>
  <si>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</si>
  <si>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</si>
  <si>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</si>
  <si>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</si>
  <si>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</si>
  <si>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</si>
  <si>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</si>
  <si>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</si>
  <si>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</si>
  <si>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</si>
  <si>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</si>
  <si>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</si>
  <si>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</si>
  <si>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</si>
  <si>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</si>
  <si>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</si>
  <si>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</si>
  <si>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</si>
  <si>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</si>
  <si>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</si>
  <si>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</si>
  <si>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</si>
  <si>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</si>
  <si>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</si>
  <si>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</si>
  <si>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</si>
  <si>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</si>
  <si>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</si>
  <si>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</si>
  <si>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</si>
  <si>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</si>
  <si>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</si>
  <si>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</si>
  <si>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</si>
  <si>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</si>
  <si>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</si>
  <si>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</si>
  <si>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</si>
  <si>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</si>
  <si>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</si>
  <si>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</si>
  <si>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</si>
  <si>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</si>
  <si>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</si>
  <si>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</si>
  <si>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</si>
  <si>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</si>
  <si>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</si>
  <si>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</si>
  <si>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</si>
  <si>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</si>
  <si>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</si>
  <si>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</si>
  <si>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</si>
  <si>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</si>
  <si>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</si>
  <si>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</si>
  <si>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</si>
  <si>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</si>
  <si>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</si>
  <si>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</si>
  <si>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</si>
  <si>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</si>
  <si>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</si>
  <si>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</si>
  <si>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</si>
  <si>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</si>
  <si>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</si>
  <si>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</si>
  <si>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</si>
  <si>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</si>
  <si>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</si>
  <si>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</si>
  <si>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</si>
  <si>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</si>
  <si>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</si>
  <si>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</si>
  <si>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</si>
  <si>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</si>
  <si>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</si>
  <si>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</si>
  <si>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</si>
  <si>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</si>
  <si>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</si>
  <si>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</si>
  <si>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</si>
  <si>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</si>
  <si>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</si>
  <si>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</si>
  <si>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</si>
  <si>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</si>
  <si>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</si>
  <si>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</si>
  <si>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</si>
  <si>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</si>
  <si>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</si>
  <si>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</si>
  <si>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</si>
  <si>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</si>
  <si>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</si>
  <si>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</si>
  <si>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</si>
  <si>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</si>
  <si>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</si>
  <si>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</si>
  <si>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</si>
  <si>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</si>
  <si>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</si>
  <si>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</si>
  <si>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</si>
  <si>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</si>
  <si>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</si>
  <si>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</si>
  <si>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</si>
  <si>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</si>
  <si>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</si>
  <si>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</si>
  <si>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</si>
  <si>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</si>
  <si>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</si>
  <si>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</si>
  <si>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</si>
  <si>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</si>
  <si>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</si>
  <si>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</si>
  <si>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</si>
  <si>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</si>
  <si>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</si>
  <si>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</si>
  <si>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</si>
  <si>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</si>
  <si>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</si>
  <si>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</si>
  <si>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</si>
  <si>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</si>
  <si>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</si>
  <si>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</si>
  <si>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</si>
  <si>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</si>
  <si>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</si>
  <si>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</si>
  <si>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</si>
  <si>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</si>
  <si>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</si>
  <si>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</si>
  <si>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</si>
  <si>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</si>
  <si>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</si>
  <si>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</si>
  <si>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</si>
  <si>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</si>
  <si>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</si>
  <si>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</si>
  <si>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</si>
  <si>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</si>
  <si>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</si>
  <si>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</si>
  <si>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</si>
  <si>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</si>
  <si>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</si>
  <si>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</si>
  <si>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</si>
  <si>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</si>
  <si>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</si>
  <si>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</si>
  <si>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</si>
  <si>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</si>
  <si>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</si>
  <si>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</si>
  <si>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</si>
  <si>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</si>
  <si>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</si>
  <si>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</si>
  <si>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</si>
  <si>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</si>
  <si>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</si>
  <si>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</si>
  <si>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</si>
  <si>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</si>
  <si>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</si>
  <si>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</si>
  <si>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</si>
  <si>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</si>
  <si>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</si>
  <si>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</si>
  <si>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</si>
  <si>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</si>
  <si>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</si>
  <si>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</si>
  <si>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</si>
  <si>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</si>
  <si>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</si>
  <si>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</si>
  <si>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</si>
  <si>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</si>
  <si>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</si>
  <si>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</si>
  <si>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</si>
  <si>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</si>
  <si>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</si>
  <si>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</si>
  <si>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</si>
  <si>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</si>
  <si>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</si>
  <si>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</si>
  <si>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</si>
  <si>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</si>
  <si>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</si>
  <si>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</si>
  <si>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</si>
  <si>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</si>
  <si>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</si>
  <si>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</si>
  <si>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</si>
  <si>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</si>
  <si>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</si>
  <si>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</si>
  <si>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</si>
  <si>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</si>
  <si>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</si>
  <si>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</si>
  <si>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</si>
  <si>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</si>
  <si>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</si>
  <si>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</si>
  <si>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</si>
  <si>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</si>
  <si>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</si>
  <si>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</si>
  <si>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</si>
  <si>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</si>
  <si>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</si>
  <si>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</si>
  <si>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</si>
  <si>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</si>
  <si>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</si>
  <si>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</si>
  <si>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</si>
  <si>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</si>
  <si>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</si>
  <si>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</si>
  <si>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</si>
  <si>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</si>
  <si>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</si>
  <si>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</si>
  <si>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</si>
  <si>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</si>
  <si>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</si>
  <si>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</si>
  <si>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</si>
  <si>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</si>
  <si>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</si>
  <si>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</si>
  <si>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</si>
  <si>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</si>
  <si>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</si>
  <si>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</si>
  <si>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</si>
  <si>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</si>
  <si>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</si>
  <si>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</si>
  <si>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</si>
  <si>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</si>
  <si>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</si>
  <si>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</si>
  <si>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</si>
  <si>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</si>
  <si>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</si>
  <si>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</si>
  <si>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</si>
  <si>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</si>
  <si>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</si>
  <si>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</si>
  <si>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</si>
  <si>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</si>
  <si>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</si>
  <si>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</si>
  <si>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</si>
  <si>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</si>
  <si>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</si>
  <si>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</si>
  <si>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</si>
  <si>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</si>
  <si>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</si>
  <si>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</si>
  <si>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</si>
  <si>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</si>
  <si>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</si>
  <si>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</si>
  <si>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</si>
  <si>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</si>
  <si>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</si>
  <si>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</si>
  <si>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</si>
  <si>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</si>
  <si>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</si>
  <si>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</si>
  <si>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</si>
  <si>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</si>
  <si>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</si>
  <si>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</si>
  <si>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</si>
  <si>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</si>
  <si>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</si>
  <si>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</si>
  <si>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</si>
  <si>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</si>
  <si>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</si>
  <si>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</si>
  <si>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</si>
  <si>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</si>
  <si>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</si>
  <si>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</si>
  <si>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</si>
  <si>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</si>
  <si>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</si>
  <si>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</si>
  <si>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</si>
  <si>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</si>
  <si>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</si>
  <si>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</si>
  <si>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</si>
  <si>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</si>
  <si>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</si>
  <si>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</si>
  <si>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</si>
  <si>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</si>
  <si>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</si>
  <si>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</si>
  <si>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</si>
  <si>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</si>
  <si>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</si>
  <si>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</si>
  <si>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</si>
  <si>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</si>
  <si>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</si>
  <si>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</si>
  <si>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</si>
  <si>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</si>
  <si>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</si>
  <si>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</si>
  <si>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</si>
  <si>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</si>
  <si>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</si>
  <si>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</si>
  <si>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</si>
  <si>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</si>
  <si>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</si>
  <si>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</si>
  <si>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</si>
  <si>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</si>
  <si>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</si>
  <si>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</si>
  <si>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</si>
  <si>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</si>
  <si>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</si>
  <si>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</si>
  <si>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</si>
  <si>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</si>
  <si>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</si>
  <si>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</si>
  <si>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</si>
  <si>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</si>
  <si>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</si>
  <si>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</si>
  <si>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</si>
  <si>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</si>
  <si>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</si>
  <si>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</si>
  <si>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</si>
  <si>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</si>
  <si>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</si>
  <si>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</si>
  <si>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</si>
  <si>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</si>
  <si>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</si>
  <si>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</si>
  <si>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</si>
  <si>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</si>
  <si>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</si>
  <si>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</si>
  <si>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</si>
  <si>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</si>
  <si>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</si>
  <si>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</si>
  <si>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</si>
  <si>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</si>
  <si>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</si>
  <si>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</si>
  <si>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</si>
  <si>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</si>
  <si>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</si>
  <si>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</si>
  <si>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</si>
  <si>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</si>
  <si>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</si>
  <si>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</si>
  <si>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</si>
  <si>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</si>
  <si>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</si>
  <si>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</si>
  <si>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</si>
  <si>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</si>
  <si>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</si>
  <si>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</si>
  <si>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</si>
  <si>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</si>
  <si>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</si>
  <si>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</si>
  <si>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</si>
  <si>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</si>
  <si>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</si>
  <si>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</si>
  <si>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</si>
  <si>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</si>
  <si>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</si>
  <si>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</si>
  <si>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</si>
  <si>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</si>
  <si>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</si>
  <si>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</si>
  <si>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</si>
  <si>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</si>
  <si>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</si>
  <si>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</si>
  <si>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</si>
  <si>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</si>
  <si>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</si>
  <si>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</si>
  <si>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</si>
  <si>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</si>
  <si>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</si>
  <si>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</si>
  <si>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</si>
  <si>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</si>
  <si>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</si>
  <si>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</si>
  <si>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</si>
  <si>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</si>
  <si>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</si>
  <si>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</si>
  <si>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</si>
  <si>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</si>
  <si>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</si>
  <si>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</si>
  <si>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</si>
  <si>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</si>
  <si>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</si>
  <si>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</si>
  <si>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</si>
  <si>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</si>
  <si>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</si>
  <si>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</si>
  <si>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</si>
  <si>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</si>
  <si>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</si>
  <si>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</si>
  <si>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</si>
  <si>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</si>
  <si>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</si>
  <si>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</si>
  <si>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</si>
  <si>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</si>
  <si>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</si>
  <si>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</si>
  <si>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</si>
  <si>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</si>
  <si>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</si>
  <si>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</si>
  <si>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</si>
  <si>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</si>
  <si>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</si>
  <si>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</si>
  <si>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</si>
  <si>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</si>
  <si>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</si>
  <si>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</si>
  <si>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</si>
  <si>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</si>
  <si>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</si>
  <si>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</si>
  <si>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</si>
  <si>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</si>
  <si>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</si>
  <si>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</si>
  <si>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</si>
  <si>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</si>
  <si>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</si>
  <si>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</si>
  <si>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</si>
  <si>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</si>
  <si>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</si>
  <si>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</si>
  <si>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</si>
  <si>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</si>
  <si>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</si>
  <si>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</si>
  <si>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</si>
  <si>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</si>
  <si>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</si>
  <si>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</si>
  <si>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</si>
  <si>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</si>
  <si>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</si>
  <si>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</si>
  <si>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</si>
  <si>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</si>
  <si>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</si>
  <si>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</si>
  <si>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</si>
  <si>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</si>
  <si>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</si>
  <si>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</si>
  <si>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</si>
  <si>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</si>
  <si>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</si>
  <si>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</si>
  <si>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</si>
  <si>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</si>
  <si>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</si>
  <si>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</si>
  <si>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</si>
  <si>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</si>
  <si>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</si>
  <si>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</si>
  <si>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</si>
  <si>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</si>
  <si>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</si>
  <si>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</si>
  <si>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</si>
  <si>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</si>
  <si>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</si>
  <si>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</si>
  <si>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</si>
  <si>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</si>
  <si>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</si>
  <si>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</si>
  <si>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</si>
  <si>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</si>
  <si>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</si>
  <si>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</si>
  <si>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</si>
  <si>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</si>
  <si>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</si>
  <si>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</si>
  <si>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</si>
  <si>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</si>
  <si>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</si>
  <si>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</si>
  <si>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</si>
  <si>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</si>
  <si>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</si>
  <si>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</si>
  <si>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</si>
  <si>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</si>
  <si>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</si>
  <si>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</si>
  <si>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</si>
  <si>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</si>
  <si>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</si>
  <si>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</si>
  <si>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</si>
  <si>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</si>
  <si>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</si>
  <si>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</si>
  <si>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</si>
  <si>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</si>
  <si>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</si>
  <si>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</si>
  <si>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</si>
  <si>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</si>
  <si>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</si>
  <si>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</si>
  <si>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</si>
  <si>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</si>
  <si>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</si>
  <si>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</si>
  <si>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</si>
  <si>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</si>
  <si>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</si>
  <si>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</si>
  <si>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</si>
  <si>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</si>
  <si>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</si>
  <si>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</si>
  <si>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</si>
  <si>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</si>
  <si>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</si>
  <si>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</si>
  <si>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</si>
  <si>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</si>
  <si>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</si>
  <si>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</si>
  <si>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</si>
  <si>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</si>
  <si>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</si>
  <si>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</si>
  <si>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</si>
  <si>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</si>
  <si>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</si>
  <si>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</si>
  <si>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</si>
  <si>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</si>
  <si>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</si>
  <si>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</si>
  <si>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</si>
  <si>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</si>
  <si>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</si>
  <si>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</si>
  <si>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</si>
  <si>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</si>
  <si>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</si>
  <si>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</si>
  <si>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</si>
  <si>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</si>
  <si>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</si>
  <si>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</si>
  <si>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</si>
  <si>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</si>
  <si>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</si>
  <si>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</si>
  <si>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</si>
  <si>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</si>
  <si>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</si>
  <si>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</si>
  <si>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</si>
  <si>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</si>
  <si>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</si>
  <si>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</si>
  <si>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</si>
  <si>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</si>
  <si>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</si>
  <si>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</si>
  <si>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</si>
  <si>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</si>
  <si>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</si>
  <si>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</si>
  <si>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</si>
  <si>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</si>
  <si>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</si>
  <si>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</si>
  <si>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</si>
  <si>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</si>
  <si>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</si>
  <si>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</si>
  <si>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</si>
  <si>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</si>
  <si>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</si>
  <si>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</si>
  <si>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</si>
  <si>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</si>
  <si>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</si>
  <si>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</si>
  <si>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</si>
  <si>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</si>
  <si>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</si>
  <si>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</si>
  <si>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</si>
  <si>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</si>
  <si>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</si>
  <si>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</si>
  <si>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</si>
  <si>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</si>
  <si>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</si>
  <si>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</si>
  <si>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</si>
  <si>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</si>
  <si>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</si>
  <si>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</si>
  <si>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</si>
  <si>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</si>
  <si>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</si>
  <si>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</si>
  <si>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</si>
  <si>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</si>
  <si>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</si>
  <si>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</si>
  <si>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</si>
  <si>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</si>
  <si>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</si>
  <si>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</si>
  <si>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</si>
  <si>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</si>
  <si>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</si>
  <si>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</si>
  <si>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</si>
  <si>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</si>
  <si>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</si>
  <si>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</si>
  <si>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</si>
  <si>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</si>
  <si>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</si>
  <si>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</si>
  <si>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</si>
  <si>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</si>
  <si>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</si>
  <si>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</si>
  <si>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</si>
  <si>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</si>
  <si>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</si>
  <si>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</si>
  <si>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</si>
  <si>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</si>
  <si>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</si>
  <si>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</si>
  <si>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</si>
  <si>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</si>
  <si>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</si>
  <si>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</si>
  <si>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</si>
  <si>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</si>
  <si>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</si>
  <si>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</si>
  <si>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</si>
  <si>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</si>
  <si>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</si>
  <si>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</si>
  <si>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</si>
  <si>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</si>
  <si>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</si>
  <si>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</si>
  <si>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</si>
  <si>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</si>
  <si>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</si>
  <si>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</si>
  <si>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</si>
  <si>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</si>
  <si>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</si>
  <si>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</si>
  <si>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</si>
  <si>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</si>
  <si>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</si>
  <si>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</si>
  <si>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</si>
  <si>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</si>
  <si>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</si>
  <si>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</si>
  <si>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</si>
  <si>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</si>
  <si>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</si>
  <si>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</si>
  <si>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</si>
  <si>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</si>
  <si>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</si>
  <si>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</si>
  <si>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</si>
  <si>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</si>
  <si>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</si>
  <si>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</si>
  <si>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</si>
  <si>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</si>
  <si>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</si>
  <si>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</si>
  <si>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</si>
  <si>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</si>
  <si>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</si>
  <si>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</si>
  <si>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</si>
  <si>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</si>
  <si>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</si>
  <si>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</si>
  <si>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</si>
  <si>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</si>
  <si>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</si>
  <si>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</si>
  <si>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</si>
  <si>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</si>
  <si>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</si>
  <si>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</si>
  <si>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</si>
  <si>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</si>
  <si>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</si>
  <si>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</si>
  <si>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</si>
  <si>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</si>
  <si>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</si>
  <si>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</si>
  <si>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</si>
  <si>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</si>
  <si>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</si>
  <si>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</si>
  <si>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</si>
  <si>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</si>
  <si>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</si>
  <si>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</si>
  <si>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</si>
  <si>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</si>
  <si>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</si>
  <si>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</si>
  <si>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</si>
  <si>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</si>
  <si>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</si>
  <si>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</si>
  <si>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</si>
  <si>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</si>
  <si>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</si>
  <si>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</si>
  <si>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</si>
  <si>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</si>
  <si>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</si>
  <si>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</si>
  <si>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</si>
  <si>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</si>
  <si>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</si>
  <si>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</si>
  <si>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</si>
  <si>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</si>
  <si>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</si>
  <si>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</si>
  <si>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</si>
  <si>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</si>
  <si>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</si>
  <si>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</si>
  <si>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</si>
  <si>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</si>
  <si>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</si>
  <si>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</si>
  <si>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</si>
  <si>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</si>
  <si>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</si>
  <si>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</si>
  <si>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</si>
  <si>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</si>
  <si>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</si>
  <si>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</si>
  <si>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</si>
  <si>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</si>
  <si>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</si>
  <si>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</si>
  <si>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</si>
  <si>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</si>
  <si>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</si>
  <si>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</si>
  <si>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</si>
  <si>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</si>
  <si>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</si>
  <si>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</si>
  <si>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</si>
  <si>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</si>
  <si>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</si>
  <si>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</si>
  <si>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</si>
  <si>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</si>
  <si>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</si>
  <si>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</si>
  <si>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</si>
  <si>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</si>
  <si>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</si>
  <si>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</si>
  <si>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</si>
  <si>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</si>
  <si>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</si>
  <si>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</si>
  <si>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</si>
  <si>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</si>
  <si>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</si>
  <si>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</si>
  <si>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</si>
  <si>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</si>
  <si>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</si>
  <si>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</si>
  <si>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</si>
  <si>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</si>
  <si>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</si>
  <si>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</si>
  <si>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</si>
  <si>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</si>
  <si>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</si>
  <si>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</si>
  <si>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</si>
  <si>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</si>
  <si>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</si>
  <si>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</si>
  <si>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</si>
  <si>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</si>
  <si>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</si>
  <si>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</si>
  <si>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</si>
  <si>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</si>
  <si>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</si>
  <si>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</si>
  <si>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</si>
  <si>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</si>
  <si>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</si>
  <si>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</si>
  <si>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</si>
  <si>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</si>
  <si>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</si>
  <si>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</si>
  <si>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</si>
  <si>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</si>
  <si>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</si>
  <si>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</si>
  <si>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</si>
  <si>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</si>
  <si>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</si>
  <si>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</si>
  <si>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</si>
  <si>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</si>
  <si>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</si>
  <si>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</si>
  <si>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</si>
  <si>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</si>
  <si>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</si>
  <si>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</si>
  <si>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</si>
  <si>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</si>
  <si>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</si>
  <si>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</si>
  <si>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</si>
  <si>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</si>
  <si>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</si>
  <si>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</si>
  <si>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</si>
  <si>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</si>
  <si>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</si>
  <si>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</si>
  <si>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</si>
  <si>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</si>
  <si>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</si>
  <si>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</si>
  <si>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</si>
  <si>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</si>
  <si>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</si>
  <si>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</si>
  <si>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</si>
  <si>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</si>
  <si>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</si>
  <si>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</si>
  <si>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</si>
  <si>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</si>
  <si>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</si>
  <si>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</si>
  <si>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</si>
  <si>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</si>
  <si>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</si>
  <si>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</si>
  <si>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</si>
  <si>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</si>
  <si>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</si>
  <si>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</si>
  <si>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</si>
  <si>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</si>
  <si>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</si>
  <si>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</si>
  <si>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</si>
  <si>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</si>
  <si>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</si>
  <si>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</si>
  <si>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</si>
  <si>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</si>
  <si>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</si>
  <si>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</si>
  <si>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</si>
  <si>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</si>
  <si>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</si>
  <si>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</si>
  <si>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</si>
  <si>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</si>
  <si>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</si>
  <si>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</si>
  <si>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</si>
  <si>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</si>
  <si>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</si>
  <si>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</si>
  <si>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</si>
  <si>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</si>
  <si>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</si>
  <si>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</si>
  <si>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</si>
  <si>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</si>
  <si>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</si>
  <si>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</si>
  <si>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</si>
  <si>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</si>
  <si>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</si>
  <si>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</si>
  <si>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</si>
  <si>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</si>
  <si>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</si>
  <si>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</si>
  <si>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</si>
  <si>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</si>
  <si>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</si>
  <si>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</si>
  <si>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</si>
  <si>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</si>
  <si>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</si>
  <si>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</si>
  <si>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</si>
  <si>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</si>
  <si>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</si>
  <si>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</si>
  <si>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</si>
  <si>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</si>
  <si>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</si>
  <si>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</si>
  <si>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</si>
  <si>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</si>
  <si>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</si>
  <si>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</si>
  <si>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</si>
  <si>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</si>
  <si>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</si>
  <si>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</si>
  <si>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</si>
  <si>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</si>
  <si>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</si>
  <si>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</si>
  <si>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</si>
  <si>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</si>
  <si>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</si>
  <si>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</si>
  <si>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</si>
  <si>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</si>
  <si>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</si>
  <si>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</si>
  <si>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</si>
  <si>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</si>
  <si>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</si>
  <si>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</si>
  <si>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</si>
  <si>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</si>
  <si>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</si>
  <si>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</si>
  <si>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</si>
  <si>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</si>
  <si>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</si>
  <si>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</si>
  <si>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</si>
  <si>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</si>
  <si>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</si>
  <si>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</si>
  <si>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</si>
  <si>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</si>
  <si>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</si>
  <si>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</si>
  <si>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</si>
  <si>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</si>
  <si>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</si>
  <si>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</si>
  <si>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</si>
  <si>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</si>
  <si>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</si>
  <si>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</si>
  <si>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</si>
  <si>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</si>
  <si>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</si>
  <si>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</si>
  <si>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</si>
  <si>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</si>
  <si>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</si>
  <si>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</si>
  <si>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</si>
  <si>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</si>
  <si>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</si>
  <si>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</si>
  <si>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</si>
  <si>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</si>
  <si>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</si>
  <si>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</si>
  <si>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</si>
  <si>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</si>
  <si>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</si>
  <si>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</si>
  <si>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</si>
  <si>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</si>
  <si>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</si>
  <si>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</si>
  <si>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</si>
  <si>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</si>
  <si>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</si>
  <si>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</si>
  <si>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</si>
  <si>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</si>
  <si>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</si>
  <si>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</si>
  <si>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</si>
  <si>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</si>
  <si>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</si>
  <si>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</si>
  <si>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</si>
  <si>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</si>
  <si>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</si>
  <si>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</si>
  <si>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</si>
  <si>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</si>
  <si>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</si>
  <si>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</si>
  <si>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</si>
  <si>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</si>
  <si>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</si>
  <si>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</si>
  <si>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</si>
  <si>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</si>
  <si>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</si>
  <si>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</si>
  <si>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</si>
  <si>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</si>
  <si>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</si>
  <si>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</si>
  <si>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</si>
  <si>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</si>
  <si>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</si>
  <si>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</si>
  <si>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</si>
  <si>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</si>
  <si>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</si>
  <si>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</si>
  <si>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</si>
  <si>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</si>
  <si>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</si>
  <si>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</si>
  <si>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</si>
  <si>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</si>
  <si>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</si>
  <si>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</si>
  <si>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</si>
  <si>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</si>
  <si>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</si>
  <si>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</si>
  <si>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</si>
  <si>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</si>
  <si>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</si>
  <si>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</si>
  <si>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</si>
  <si>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</si>
  <si>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</si>
  <si>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</si>
  <si>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</si>
  <si>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</si>
  <si>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</si>
  <si>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</si>
  <si>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</si>
  <si>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</si>
  <si>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</si>
  <si>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</si>
  <si>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</si>
  <si>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</si>
  <si>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</si>
  <si>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</si>
  <si>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</si>
  <si>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</si>
  <si>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</si>
  <si>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</si>
  <si>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</si>
  <si>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</si>
  <si>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</si>
  <si>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</si>
  <si>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</si>
  <si>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</si>
  <si>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</si>
  <si>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</si>
  <si>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</si>
  <si>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</si>
  <si>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</si>
  <si>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</si>
  <si>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</si>
  <si>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</si>
  <si>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</si>
  <si>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</si>
  <si>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</si>
  <si>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</si>
  <si>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</si>
  <si>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</si>
  <si>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</si>
  <si>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</si>
  <si>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</si>
  <si>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</si>
  <si>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</si>
  <si>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</si>
  <si>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</si>
  <si>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</si>
  <si>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</si>
  <si>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</si>
  <si>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</si>
  <si>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</si>
  <si>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</si>
  <si>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</si>
  <si>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</si>
  <si>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</si>
  <si>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</si>
  <si>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</si>
  <si>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</si>
  <si>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</si>
  <si>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</si>
  <si>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</si>
  <si>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</si>
  <si>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</si>
  <si>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</si>
  <si>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</si>
  <si>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</si>
  <si>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</si>
  <si>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</si>
  <si>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</si>
  <si>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</si>
  <si>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</si>
  <si>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</si>
  <si>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</si>
  <si>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</si>
  <si>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</si>
  <si>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</si>
  <si>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</si>
  <si>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</si>
  <si>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</si>
  <si>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</si>
  <si>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</si>
  <si>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</si>
  <si>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</si>
  <si>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</si>
  <si>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</si>
  <si>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</si>
  <si>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</si>
  <si>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</si>
  <si>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</si>
  <si>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</si>
  <si>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</si>
  <si>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</si>
  <si>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</si>
  <si>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</si>
  <si>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</si>
  <si>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</si>
  <si>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</si>
  <si>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</si>
  <si>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</si>
  <si>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</si>
  <si>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</si>
  <si>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</si>
  <si>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</si>
  <si>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</si>
  <si>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</si>
  <si>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</si>
  <si>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</si>
  <si>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</si>
  <si>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</si>
  <si>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</si>
  <si>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</si>
  <si>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</si>
  <si>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</si>
  <si>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</si>
  <si>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</si>
  <si>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</si>
  <si>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</si>
  <si>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</si>
  <si>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</si>
  <si>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</si>
  <si>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</si>
  <si>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</si>
  <si>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</si>
  <si>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</si>
  <si>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</si>
  <si>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</si>
  <si>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</si>
  <si>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</si>
  <si>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</si>
  <si>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</si>
  <si>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</si>
  <si>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</si>
  <si>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</si>
  <si>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</si>
  <si>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</si>
  <si>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</si>
  <si>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</si>
  <si>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</si>
  <si>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</si>
  <si>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</si>
  <si>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</si>
  <si>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</si>
  <si>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</si>
  <si>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</si>
  <si>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</si>
  <si>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</si>
  <si>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</si>
  <si>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</si>
  <si>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</si>
  <si>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</si>
  <si>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</si>
  <si>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</si>
  <si>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</si>
  <si>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</si>
  <si>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</si>
  <si>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</si>
  <si>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</si>
  <si>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</si>
  <si>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</si>
  <si>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</si>
  <si>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</si>
  <si>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</si>
  <si>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</si>
  <si>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</si>
  <si>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</si>
  <si>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</si>
  <si>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</si>
  <si>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</si>
  <si>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</si>
  <si>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</si>
  <si>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</si>
  <si>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</si>
  <si>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</si>
  <si>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</si>
  <si>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</si>
  <si>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</si>
  <si>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</si>
  <si>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</si>
  <si>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</si>
  <si>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</si>
  <si>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</si>
  <si>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</si>
  <si>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</si>
  <si>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</si>
  <si>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</si>
  <si>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</si>
  <si>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</si>
  <si>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</si>
  <si>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</si>
  <si>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</si>
  <si>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</si>
  <si>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</si>
  <si>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</si>
  <si>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</si>
  <si>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</si>
  <si>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</si>
  <si>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</si>
  <si>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</si>
  <si>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</si>
  <si>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</si>
  <si>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</si>
  <si>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</si>
  <si>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</si>
  <si>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</si>
  <si>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</si>
  <si>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</si>
  <si>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</si>
  <si>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</si>
  <si>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</si>
  <si>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</si>
  <si>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</si>
  <si>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</si>
  <si>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</si>
  <si>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</si>
  <si>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</si>
  <si>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</si>
  <si>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</si>
  <si>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</si>
  <si>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</si>
  <si>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</si>
  <si>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</si>
  <si>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</si>
  <si>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</si>
  <si>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</si>
  <si>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</si>
  <si>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</si>
  <si>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</si>
  <si>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</si>
  <si>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</si>
  <si>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</si>
  <si>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</si>
  <si>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</si>
  <si>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</si>
  <si>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</si>
  <si>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</si>
  <si>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</si>
  <si>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</si>
  <si>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</si>
  <si>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</si>
  <si>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</si>
  <si>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</si>
  <si>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</si>
  <si>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</si>
  <si>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</si>
  <si>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</si>
  <si>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</si>
  <si>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</si>
  <si>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</si>
  <si>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</si>
  <si>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</si>
  <si>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</si>
  <si>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</si>
  <si>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</si>
  <si>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</si>
  <si>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</si>
  <si>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</si>
  <si>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</si>
  <si>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</si>
  <si>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</si>
  <si>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</si>
  <si>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</si>
  <si>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</si>
  <si>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</si>
  <si>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</si>
  <si>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</si>
  <si>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</si>
  <si>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</si>
  <si>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</si>
  <si>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</si>
  <si>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</si>
  <si>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</si>
  <si>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</si>
  <si>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</si>
  <si>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</si>
  <si>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</si>
  <si>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</si>
  <si>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</si>
  <si>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</si>
  <si>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</si>
  <si>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</si>
  <si>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</si>
  <si>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</si>
  <si>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</si>
  <si>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</si>
  <si>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</si>
  <si>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</si>
  <si>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</si>
  <si>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</si>
  <si>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</si>
  <si>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</si>
  <si>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</si>
  <si>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</si>
  <si>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</si>
  <si>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</si>
  <si>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</si>
  <si>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</si>
  <si>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</si>
  <si>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</si>
  <si>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</si>
  <si>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</si>
  <si>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</si>
  <si>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</si>
  <si>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</si>
  <si>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</si>
  <si>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</si>
  <si>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</si>
  <si>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</si>
  <si>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</si>
  <si>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</si>
  <si>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</si>
  <si>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</si>
  <si>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</si>
  <si>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</si>
  <si>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</si>
  <si>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</si>
  <si>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</si>
  <si>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</si>
  <si>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</si>
  <si>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</si>
  <si>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</si>
  <si>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</si>
  <si>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</si>
  <si>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</si>
  <si>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</si>
  <si>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</si>
  <si>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</si>
  <si>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</si>
  <si>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</si>
  <si>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</si>
  <si>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</si>
  <si>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</si>
  <si>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</si>
  <si>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</si>
  <si>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</si>
  <si>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</si>
  <si>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</si>
  <si>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</si>
  <si>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</si>
  <si>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</si>
  <si>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</si>
  <si>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</si>
  <si>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</si>
  <si>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</si>
  <si>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</si>
  <si>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</si>
  <si>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</si>
  <si>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</si>
  <si>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</si>
  <si>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</si>
  <si>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</si>
  <si>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</si>
  <si>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</si>
  <si>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</si>
  <si>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</si>
  <si>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</si>
  <si>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</si>
  <si>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</si>
  <si>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</si>
  <si>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</si>
  <si>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</si>
  <si>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</si>
  <si>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</si>
  <si>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</si>
  <si>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</si>
  <si>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</si>
  <si>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</si>
  <si>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</si>
  <si>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</si>
  <si>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</si>
  <si>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</si>
  <si>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</si>
  <si>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</si>
  <si>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</si>
  <si>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</si>
  <si>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</si>
  <si>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</si>
  <si>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</si>
  <si>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</si>
  <si>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</si>
  <si>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</si>
  <si>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</si>
  <si>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</si>
  <si>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</si>
  <si>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</si>
  <si>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</si>
  <si>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</si>
  <si>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</si>
  <si>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</si>
  <si>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</si>
  <si>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</si>
  <si>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</si>
  <si>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</si>
  <si>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</si>
  <si>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</si>
  <si>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</si>
  <si>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</si>
  <si>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</si>
  <si>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</si>
  <si>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</si>
  <si>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</si>
  <si>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</si>
  <si>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</si>
  <si>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</si>
  <si>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</si>
  <si>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</si>
  <si>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</si>
  <si>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</si>
  <si>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</si>
  <si>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</si>
  <si>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</si>
  <si>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</si>
  <si>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</si>
  <si>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</si>
  <si>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</si>
  <si>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</si>
  <si>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</si>
  <si>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</si>
  <si>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</si>
  <si>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</si>
  <si>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</si>
  <si>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</si>
  <si>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</si>
  <si>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</si>
  <si>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</si>
  <si>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</si>
  <si>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</si>
  <si>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</si>
  <si>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</si>
  <si>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</si>
  <si>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</si>
  <si>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</si>
  <si>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</si>
  <si>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</si>
  <si>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</si>
  <si>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</si>
  <si>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</si>
  <si>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</si>
  <si>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</si>
  <si>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</si>
  <si>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</si>
  <si>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</si>
  <si>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</si>
  <si>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</si>
  <si>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</si>
  <si>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</si>
  <si>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</si>
  <si>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</si>
  <si>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</si>
  <si>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</si>
  <si>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</si>
  <si>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</si>
  <si>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</si>
  <si>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</si>
  <si>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</si>
  <si>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</si>
  <si>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</si>
  <si>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</si>
  <si>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</si>
  <si>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</si>
  <si>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</si>
  <si>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</si>
  <si>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</si>
  <si>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</si>
  <si>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</si>
  <si>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</si>
  <si>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</si>
  <si>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</si>
  <si>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</si>
  <si>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</si>
  <si>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</si>
  <si>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</si>
  <si>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</si>
  <si>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</si>
  <si>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</si>
  <si>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</si>
  <si>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</si>
  <si>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</si>
  <si>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</si>
  <si>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</si>
  <si>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</si>
  <si>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</si>
  <si>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</si>
  <si>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</si>
  <si>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</si>
  <si>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</si>
  <si>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</si>
  <si>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</si>
  <si>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</si>
  <si>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</si>
  <si>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</si>
  <si>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</si>
  <si>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</si>
  <si>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</si>
  <si>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</si>
  <si>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</si>
  <si>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</si>
  <si>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</si>
  <si>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</si>
  <si>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</si>
  <si>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</si>
  <si>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</si>
  <si>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</si>
  <si>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</si>
  <si>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</si>
  <si>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</si>
  <si>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</si>
  <si>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</si>
  <si>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</si>
  <si>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</si>
  <si>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</si>
  <si>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</si>
  <si>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</si>
  <si>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</si>
  <si>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</si>
  <si>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</si>
  <si>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</si>
  <si>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</si>
  <si>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</si>
  <si>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</si>
  <si>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</si>
  <si>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</si>
  <si>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</si>
  <si>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</si>
  <si>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</si>
  <si>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</si>
  <si>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</si>
  <si>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</si>
  <si>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</si>
  <si>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</si>
  <si>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</si>
  <si>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</si>
  <si>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</si>
  <si>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</si>
  <si>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</si>
  <si>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</si>
  <si>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</si>
  <si>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</si>
  <si>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</si>
  <si>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</si>
  <si>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</si>
  <si>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</si>
  <si>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</si>
  <si>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</si>
  <si>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</si>
  <si>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</si>
  <si>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</si>
  <si>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</si>
  <si>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</si>
  <si>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</si>
  <si>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</si>
  <si>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</si>
  <si>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</si>
  <si>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</si>
  <si>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</si>
  <si>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</si>
  <si>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</si>
  <si>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</si>
  <si>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</si>
  <si>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</si>
  <si>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</si>
  <si>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</si>
  <si>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</si>
  <si>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</si>
  <si>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</si>
  <si>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</si>
  <si>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</si>
  <si>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</si>
  <si>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</si>
  <si>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</si>
  <si>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</si>
  <si>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</si>
  <si>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</si>
  <si>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</si>
  <si>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</si>
  <si>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</si>
  <si>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</si>
  <si>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</si>
  <si>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</si>
  <si>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</si>
  <si>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</si>
  <si>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</si>
  <si>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</si>
  <si>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</si>
  <si>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</si>
  <si>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</si>
  <si>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</si>
  <si>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</si>
  <si>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</si>
  <si>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</si>
  <si>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</si>
  <si>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</si>
  <si>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</si>
  <si>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</si>
  <si>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</si>
  <si>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</si>
  <si>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</si>
  <si>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</si>
  <si>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</si>
  <si>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</si>
  <si>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</si>
  <si>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</si>
  <si>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</si>
  <si>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</si>
  <si>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</si>
  <si>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</si>
  <si>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</si>
  <si>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</si>
  <si>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</si>
  <si>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</si>
  <si>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</si>
  <si>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</si>
  <si>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</si>
  <si>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</si>
  <si>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</si>
  <si>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</si>
  <si>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</si>
  <si>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</si>
  <si>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</si>
  <si>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</si>
  <si>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</si>
  <si>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</si>
  <si>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</si>
  <si>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</si>
  <si>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</si>
  <si>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</si>
  <si>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</si>
  <si>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</si>
  <si>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</si>
  <si>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</si>
  <si>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</si>
  <si>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</si>
  <si>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</si>
  <si>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</si>
  <si>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</si>
  <si>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</si>
  <si>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</si>
  <si>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</si>
  <si>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</si>
  <si>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</si>
  <si>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</si>
  <si>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</si>
  <si>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</si>
  <si>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</si>
  <si>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</si>
  <si>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</si>
  <si>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</si>
  <si>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</si>
  <si>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</si>
  <si>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</si>
  <si>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</si>
  <si>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</si>
  <si>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</si>
  <si>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</si>
  <si>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</si>
  <si>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</si>
  <si>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</si>
  <si>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</si>
  <si>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</si>
  <si>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</si>
  <si>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</si>
  <si>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</si>
  <si>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</si>
  <si>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</si>
  <si>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</si>
  <si>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</si>
  <si>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</si>
  <si>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</si>
  <si>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</si>
  <si>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</si>
  <si>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</si>
  <si>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</si>
  <si>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</si>
  <si>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</si>
  <si>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</si>
  <si>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</si>
  <si>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</si>
  <si>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</si>
  <si>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</si>
  <si>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</si>
  <si>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</si>
  <si>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</si>
  <si>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</si>
  <si>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</si>
  <si>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</si>
  <si>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</si>
  <si>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</si>
  <si>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</si>
  <si>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</si>
  <si>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</si>
  <si>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</si>
  <si>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</si>
  <si>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</si>
  <si>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</si>
  <si>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</si>
  <si>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</si>
  <si>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</si>
  <si>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</si>
  <si>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</si>
  <si>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</si>
  <si>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</si>
  <si>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</si>
  <si>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</si>
  <si>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</si>
  <si>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</si>
  <si>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</si>
  <si>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</si>
  <si>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</si>
  <si>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</si>
  <si>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</si>
  <si>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</si>
  <si>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</si>
  <si>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</si>
  <si>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</si>
  <si>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</si>
  <si>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</si>
  <si>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</si>
  <si>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</si>
  <si>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</si>
  <si>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</si>
  <si>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</si>
  <si>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</si>
  <si>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</si>
  <si>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</si>
  <si>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</si>
  <si>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</si>
  <si>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</si>
  <si>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</si>
  <si>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</si>
  <si>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</si>
  <si>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</si>
  <si>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</si>
  <si>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</si>
  <si>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</si>
  <si>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</si>
  <si>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</si>
  <si>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</si>
  <si>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</si>
  <si>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</si>
  <si>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</si>
  <si>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</si>
  <si>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</si>
  <si>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</si>
  <si>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</si>
  <si>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</si>
  <si>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</si>
  <si>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</si>
  <si>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</si>
  <si>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</si>
  <si>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</si>
  <si>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</si>
  <si>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</si>
  <si>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</si>
  <si>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</si>
  <si>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</si>
  <si>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</si>
  <si>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</si>
  <si>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</si>
  <si>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</si>
  <si>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</si>
  <si>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</si>
  <si>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</si>
  <si>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</si>
  <si>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</si>
  <si>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</si>
  <si>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</si>
  <si>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</si>
  <si>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</si>
  <si>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</si>
  <si>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</si>
  <si>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</si>
  <si>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</si>
  <si>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</si>
  <si>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</si>
  <si>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</si>
  <si>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</si>
  <si>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</si>
  <si>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</si>
  <si>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</si>
  <si>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</si>
  <si>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</si>
  <si>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</si>
  <si>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</si>
  <si>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</si>
  <si>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</si>
  <si>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</si>
  <si>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</si>
  <si>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</si>
  <si>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</si>
  <si>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</si>
  <si>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</si>
  <si>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</si>
  <si>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</si>
  <si>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</si>
  <si>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</si>
  <si>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</si>
  <si>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</si>
  <si>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</si>
  <si>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</si>
  <si>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</si>
  <si>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</si>
  <si>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</si>
  <si>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</si>
  <si>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</si>
  <si>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</si>
  <si>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</si>
  <si>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</si>
  <si>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</si>
  <si>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</si>
  <si>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</si>
  <si>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</si>
  <si>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</si>
  <si>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</si>
  <si>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</si>
  <si>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</si>
  <si>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</si>
  <si>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</si>
  <si>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</si>
  <si>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</si>
  <si>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</si>
  <si>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</si>
  <si>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</si>
  <si>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</si>
  <si>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</si>
  <si>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</si>
  <si>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</si>
  <si>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</si>
  <si>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</si>
  <si>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</si>
  <si>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</si>
  <si>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</si>
  <si>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</si>
  <si>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</si>
  <si>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</si>
  <si>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</si>
  <si>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</si>
  <si>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</si>
  <si>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</si>
  <si>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</si>
  <si>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</si>
  <si>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</si>
  <si>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</si>
  <si>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</si>
  <si>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</si>
  <si>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</si>
  <si>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</si>
  <si>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</si>
  <si>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</si>
  <si>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</si>
  <si>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</si>
  <si>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</si>
  <si>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</si>
  <si>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</si>
  <si>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</si>
  <si>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</si>
  <si>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</si>
  <si>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</si>
  <si>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</si>
  <si>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</si>
  <si>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</si>
  <si>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</si>
  <si>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</si>
  <si>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</si>
  <si>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</si>
  <si>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</si>
  <si>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</si>
  <si>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</si>
  <si>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</si>
  <si>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</si>
  <si>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</si>
  <si>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</si>
  <si>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</si>
  <si>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</si>
  <si>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</si>
  <si>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</si>
  <si>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</si>
  <si>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</si>
  <si>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</si>
  <si>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</si>
  <si>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</si>
  <si>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</si>
  <si>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</si>
  <si>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</si>
  <si>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</si>
  <si>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</si>
  <si>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</si>
  <si>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</si>
  <si>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</si>
  <si>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</si>
  <si>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</si>
  <si>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</si>
  <si>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</si>
  <si>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</si>
  <si>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</si>
  <si>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</si>
  <si>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</si>
  <si>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</si>
  <si>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</si>
  <si>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</si>
  <si>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</si>
  <si>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</si>
  <si>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</si>
  <si>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</si>
  <si>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</si>
  <si>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</si>
  <si>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</si>
  <si>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</si>
  <si>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</si>
  <si>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</si>
  <si>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</si>
  <si>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</si>
  <si>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</si>
  <si>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</si>
  <si>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</si>
  <si>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</si>
  <si>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</si>
  <si>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</si>
  <si>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</si>
  <si>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</si>
  <si>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</si>
  <si>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</si>
  <si>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</si>
  <si>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</si>
  <si>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</si>
  <si>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</si>
  <si>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</si>
  <si>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</si>
  <si>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</si>
  <si>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</si>
  <si>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</si>
  <si>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</si>
  <si>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</si>
  <si>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</si>
  <si>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</si>
  <si>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</si>
  <si>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</si>
  <si>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</si>
  <si>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</si>
  <si>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</si>
  <si>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</si>
  <si>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</si>
  <si>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</si>
  <si>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</si>
  <si>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</si>
  <si>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</si>
  <si>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</si>
  <si>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</si>
  <si>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</si>
  <si>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</si>
  <si>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</si>
  <si>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</si>
  <si>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</si>
  <si>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</si>
  <si>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</si>
  <si>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</si>
  <si>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</si>
  <si>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</si>
  <si>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</si>
  <si>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</si>
  <si>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</si>
  <si>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</si>
  <si>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</si>
  <si>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</si>
  <si>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</si>
  <si>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</si>
  <si>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</si>
  <si>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</si>
  <si>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</si>
  <si>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</si>
  <si>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</si>
  <si>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</si>
  <si>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</si>
  <si>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</si>
  <si>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</si>
  <si>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</si>
  <si>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</si>
  <si>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</si>
  <si>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</si>
  <si>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</si>
  <si>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</si>
  <si>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</si>
  <si>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</si>
  <si>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</si>
  <si>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</si>
  <si>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</si>
  <si>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</si>
  <si>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</si>
  <si>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</si>
  <si>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</si>
  <si>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</si>
  <si>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</si>
  <si>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</si>
  <si>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</si>
  <si>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</si>
  <si>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</si>
  <si>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</si>
  <si>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</si>
  <si>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</si>
  <si>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</si>
  <si>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</si>
  <si>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</si>
  <si>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</si>
  <si>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</si>
  <si>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</si>
  <si>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</si>
  <si>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</si>
  <si>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</si>
  <si>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</si>
  <si>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</si>
  <si>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</si>
  <si>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</si>
  <si>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</si>
  <si>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</si>
  <si>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</si>
  <si>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</si>
  <si>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</si>
  <si>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</si>
  <si>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</si>
  <si>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</si>
  <si>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</si>
  <si>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</si>
  <si>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</si>
  <si>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</si>
  <si>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</si>
  <si>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</si>
  <si>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</si>
  <si>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</si>
  <si>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</si>
  <si>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</si>
  <si>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</si>
  <si>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</si>
  <si>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</si>
  <si>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</si>
  <si>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</si>
  <si>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</si>
  <si>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</si>
  <si>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</si>
  <si>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</si>
  <si>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</si>
  <si>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</si>
  <si>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</si>
  <si>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</si>
  <si>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</si>
  <si>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</si>
  <si>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</si>
  <si>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</si>
  <si>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</si>
  <si>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</si>
  <si>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</si>
  <si>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</si>
  <si>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</si>
  <si>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</si>
  <si>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</si>
  <si>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</si>
  <si>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</si>
  <si>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</si>
  <si>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</si>
  <si>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</si>
  <si>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</si>
  <si>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</si>
  <si>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</si>
  <si>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</si>
  <si>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</si>
  <si>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</si>
  <si>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</si>
  <si>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</si>
  <si>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</si>
  <si>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</si>
  <si>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</si>
  <si>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</si>
  <si>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</si>
  <si>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</si>
  <si>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</si>
  <si>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</si>
  <si>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</si>
  <si>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</si>
  <si>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</si>
  <si>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</si>
  <si>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</si>
  <si>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</si>
  <si>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</si>
  <si>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</si>
  <si>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</si>
  <si>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</si>
  <si>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</si>
  <si>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</si>
  <si>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</si>
  <si>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</si>
  <si>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</si>
  <si>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</si>
  <si>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</si>
  <si>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</si>
  <si>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</si>
  <si>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</si>
  <si>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</si>
  <si>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</si>
  <si>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</si>
  <si>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</si>
  <si>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</si>
  <si>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</si>
  <si>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</si>
  <si>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</si>
  <si>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</si>
  <si>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</si>
  <si>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</si>
  <si>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</si>
  <si>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</si>
  <si>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</si>
  <si>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</si>
  <si>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</si>
  <si>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</si>
  <si>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</si>
  <si>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</si>
  <si>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</si>
  <si>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</si>
  <si>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</si>
  <si>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</si>
  <si>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</si>
  <si>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</si>
  <si>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</si>
  <si>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</si>
  <si>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</si>
  <si>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</si>
  <si>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</si>
  <si>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</si>
  <si>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</si>
  <si>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</si>
  <si>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</si>
  <si>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</si>
  <si>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</si>
  <si>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</si>
  <si>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</si>
  <si>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</si>
  <si>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</si>
  <si>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</si>
  <si>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</si>
  <si>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</si>
  <si>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</si>
  <si>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</si>
  <si>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</si>
  <si>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</si>
  <si>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</si>
  <si>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</si>
  <si>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</si>
  <si>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</si>
  <si>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</si>
  <si>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</si>
  <si>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</si>
  <si>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</si>
  <si>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</si>
  <si>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</si>
  <si>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</si>
  <si>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</si>
  <si>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</si>
  <si>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</si>
  <si>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</si>
  <si>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</si>
  <si>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</si>
  <si>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</si>
  <si>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</si>
  <si>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</si>
  <si>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</si>
  <si>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</si>
  <si>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</si>
  <si>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</si>
  <si>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</si>
  <si>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</si>
  <si>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</si>
  <si>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</si>
  <si>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</si>
  <si>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</si>
  <si>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</si>
  <si>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</si>
  <si>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</si>
  <si>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</si>
  <si>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</si>
  <si>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</si>
  <si>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</si>
  <si>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</si>
  <si>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</si>
  <si>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</si>
  <si>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</si>
  <si>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</si>
  <si>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</si>
  <si>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</si>
  <si>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</si>
  <si>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</si>
  <si>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</si>
  <si>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</si>
  <si>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</si>
  <si>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</si>
  <si>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</si>
  <si>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</si>
  <si>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</si>
  <si>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</si>
  <si>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</si>
  <si>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</si>
  <si>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</si>
  <si>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</si>
  <si>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</si>
  <si>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</si>
  <si>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</si>
  <si>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</si>
  <si>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</si>
  <si>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</si>
  <si>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</si>
  <si>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</si>
  <si>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</si>
  <si>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</si>
  <si>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</si>
  <si>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</si>
  <si>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</si>
  <si>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</si>
  <si>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</si>
  <si>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</si>
  <si>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</si>
  <si>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</si>
  <si>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</si>
  <si>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</si>
  <si>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</si>
  <si>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</si>
  <si>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</si>
  <si>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</si>
  <si>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</si>
  <si>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</si>
  <si>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</si>
  <si>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</si>
  <si>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</si>
  <si>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</si>
  <si>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</si>
  <si>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</si>
  <si>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</si>
  <si>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</si>
  <si>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</si>
  <si>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</si>
  <si>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</si>
  <si>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</si>
  <si>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</si>
  <si>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</si>
  <si>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</si>
  <si>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</si>
  <si>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</si>
  <si>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</si>
  <si>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</si>
  <si>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</si>
  <si>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</si>
  <si>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</si>
  <si>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</si>
  <si>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</si>
  <si>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</si>
  <si>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</si>
  <si>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</si>
  <si>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</si>
  <si>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</si>
  <si>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</si>
  <si>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</si>
  <si>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</si>
  <si>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</si>
  <si>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</si>
  <si>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</si>
  <si>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</si>
  <si>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</si>
  <si>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</si>
  <si>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</si>
  <si>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</si>
  <si>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</si>
  <si>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</si>
  <si>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</si>
  <si>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</si>
  <si>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</si>
  <si>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</si>
  <si>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</si>
  <si>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</si>
  <si>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</si>
  <si>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</si>
  <si>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</si>
  <si>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</si>
  <si>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</si>
  <si>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</si>
  <si>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</si>
  <si>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</si>
  <si>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</si>
  <si>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</si>
  <si>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</si>
  <si>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</si>
  <si>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</si>
  <si>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</si>
  <si>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</si>
  <si>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</si>
  <si>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</si>
  <si>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</si>
  <si>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</si>
  <si>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</si>
  <si>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</si>
  <si>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</si>
  <si>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</si>
  <si>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</si>
  <si>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</si>
  <si>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</si>
  <si>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</si>
  <si>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</si>
  <si>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</si>
  <si>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</si>
  <si>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</si>
  <si>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</si>
  <si>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</si>
  <si>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</si>
  <si>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</si>
  <si>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</si>
  <si>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</si>
  <si>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</si>
  <si>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</si>
  <si>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</si>
  <si>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</si>
  <si>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</si>
  <si>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</si>
  <si>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</si>
  <si>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</si>
  <si>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</si>
  <si>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</si>
  <si>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</si>
  <si>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</si>
  <si>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</si>
  <si>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</si>
  <si>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</si>
  <si>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</si>
  <si>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</si>
  <si>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</si>
  <si>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</si>
  <si>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</si>
  <si>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</si>
  <si>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</si>
  <si>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</si>
  <si>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</si>
  <si>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</si>
  <si>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</si>
  <si>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</si>
  <si>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</si>
  <si>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</si>
  <si>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</si>
  <si>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</si>
  <si>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</si>
  <si>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</si>
  <si>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</si>
  <si>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</si>
  <si>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</si>
  <si>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</si>
  <si>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</si>
  <si>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</si>
  <si>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</si>
  <si>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</si>
  <si>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</si>
  <si>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</si>
  <si>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</si>
  <si>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</si>
  <si>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</si>
  <si>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</si>
  <si>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</si>
  <si>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</si>
  <si>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</si>
  <si>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</si>
  <si>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</si>
  <si>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</si>
  <si>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</si>
  <si>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</si>
  <si>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</si>
  <si>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</si>
  <si>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</si>
  <si>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</si>
  <si>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</si>
  <si>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</si>
  <si>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</si>
  <si>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</si>
  <si>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</si>
  <si>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</si>
  <si>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</si>
  <si>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</si>
  <si>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</si>
  <si>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</si>
  <si>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</si>
  <si>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</si>
  <si>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</si>
  <si>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</si>
  <si>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</si>
  <si>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</si>
  <si>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</si>
  <si>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</si>
  <si>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</si>
  <si>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</si>
  <si>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</si>
  <si>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</si>
  <si>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</si>
  <si>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</si>
  <si>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</si>
  <si>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</si>
  <si>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</si>
  <si>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</si>
  <si>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</si>
  <si>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</si>
  <si>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</si>
  <si>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</si>
  <si>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</si>
  <si>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</si>
  <si>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</si>
  <si>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</si>
  <si>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</si>
  <si>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</si>
  <si>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</si>
  <si>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</si>
  <si>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</si>
  <si>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</si>
  <si>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</si>
  <si>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</si>
  <si>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</si>
  <si>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</si>
  <si>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</si>
  <si>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</si>
  <si>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</si>
  <si>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</si>
  <si>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</si>
  <si>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</si>
  <si>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</si>
  <si>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</si>
  <si>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</si>
  <si>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</si>
  <si>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</si>
  <si>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</si>
  <si>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</si>
  <si>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</si>
  <si>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</si>
  <si>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</si>
  <si>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</si>
  <si>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</si>
  <si>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</si>
  <si>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</si>
  <si>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</si>
  <si>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</si>
  <si>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</si>
  <si>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</si>
  <si>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</si>
  <si>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</si>
  <si>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</si>
  <si>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</si>
  <si>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</si>
  <si>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</si>
  <si>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</si>
  <si>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</si>
  <si>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</si>
  <si>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</si>
  <si>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</si>
  <si>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</si>
  <si>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</si>
  <si>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</si>
  <si>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</si>
  <si>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</si>
  <si>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</si>
  <si>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</si>
  <si>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</si>
  <si>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</si>
  <si>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</si>
  <si>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</si>
  <si>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</si>
  <si>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</si>
  <si>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</si>
  <si>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</si>
  <si>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</si>
  <si>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</si>
  <si>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</si>
  <si>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</si>
  <si>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</si>
  <si>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</si>
  <si>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</si>
  <si>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</si>
  <si>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</si>
  <si>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</si>
  <si>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</si>
  <si>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</si>
  <si>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</si>
  <si>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</si>
  <si>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</si>
  <si>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</si>
  <si>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</si>
  <si>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</si>
  <si>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</si>
  <si>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</si>
  <si>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</si>
  <si>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</si>
  <si>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</si>
  <si>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</si>
  <si>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</si>
  <si>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</si>
  <si>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</si>
  <si>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</si>
  <si>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</si>
  <si>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</si>
  <si>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</si>
  <si>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</si>
  <si>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</si>
  <si>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</si>
  <si>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</si>
  <si>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</si>
  <si>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</si>
  <si>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</si>
  <si>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</si>
  <si>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</si>
  <si>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</si>
  <si>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</si>
  <si>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</si>
  <si>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</si>
  <si>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</si>
  <si>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</si>
  <si>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</si>
  <si>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</si>
  <si>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</si>
  <si>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</si>
  <si>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</si>
  <si>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</si>
  <si>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</si>
  <si>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</si>
  <si>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</si>
  <si>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</si>
  <si>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</si>
  <si>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</si>
  <si>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</si>
  <si>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</si>
  <si>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</si>
  <si>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</si>
  <si>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</si>
  <si>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</si>
  <si>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</si>
  <si>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</si>
  <si>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</si>
  <si>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</si>
  <si>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</si>
  <si>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</si>
  <si>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</si>
  <si>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</si>
  <si>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</si>
  <si>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</si>
  <si>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</si>
  <si>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</si>
  <si>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</si>
  <si>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</si>
  <si>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</si>
  <si>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</si>
  <si>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</si>
  <si>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</si>
  <si>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</si>
  <si>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</si>
  <si>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</si>
  <si>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</si>
  <si>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</si>
  <si>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</si>
  <si>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</si>
  <si>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</si>
  <si>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</si>
  <si>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</si>
  <si>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</si>
  <si>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</si>
  <si>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</si>
  <si>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</si>
  <si>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</si>
  <si>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</si>
  <si>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</si>
  <si>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</si>
  <si>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</si>
  <si>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</si>
  <si>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</si>
  <si>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</si>
  <si>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</si>
  <si>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</si>
  <si>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</si>
  <si>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</si>
  <si>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</si>
  <si>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</si>
  <si>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</si>
  <si>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</si>
  <si>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</si>
  <si>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</si>
  <si>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</si>
  <si>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</si>
  <si>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</si>
  <si>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</si>
  <si>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</si>
  <si>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</si>
  <si>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</si>
  <si>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</si>
  <si>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</si>
  <si>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</si>
  <si>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</si>
  <si>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</si>
  <si>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</si>
  <si>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</si>
  <si>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</si>
  <si>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</si>
  <si>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</si>
  <si>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</si>
  <si>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</si>
  <si>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</si>
  <si>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</si>
  <si>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</si>
  <si>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</si>
  <si>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</si>
  <si>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</si>
  <si>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</si>
  <si>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</si>
  <si>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</si>
  <si>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</si>
  <si>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</si>
  <si>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</si>
  <si>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</si>
  <si>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</si>
  <si>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</si>
  <si>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</si>
  <si>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</si>
  <si>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</si>
  <si>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</si>
  <si>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</si>
  <si>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</si>
  <si>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</si>
  <si>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</si>
  <si>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</si>
  <si>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</si>
  <si>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</si>
  <si>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</si>
  <si>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</si>
  <si>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</si>
  <si>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</si>
  <si>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</si>
  <si>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</si>
  <si>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</si>
  <si>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</si>
  <si>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</si>
  <si>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</si>
  <si>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</si>
  <si>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</si>
  <si>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</si>
  <si>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</si>
  <si>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</si>
  <si>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</si>
  <si>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</si>
  <si>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</si>
  <si>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</si>
  <si>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</si>
  <si>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</si>
  <si>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</si>
  <si>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</si>
  <si>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</si>
  <si>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</si>
  <si>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</si>
  <si>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</si>
  <si>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</si>
  <si>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</si>
  <si>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</si>
  <si>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</si>
  <si>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</si>
  <si>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</si>
  <si>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</si>
  <si>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</si>
  <si>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</si>
  <si>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</si>
  <si>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</si>
  <si>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</si>
  <si>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</si>
  <si>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</si>
  <si>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</si>
  <si>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</si>
  <si>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</si>
  <si>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</si>
  <si>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</si>
  <si>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</si>
  <si>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</si>
  <si>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</si>
  <si>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</si>
  <si>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</si>
  <si>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</si>
  <si>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</si>
  <si>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</si>
  <si>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</si>
  <si>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</si>
  <si>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</si>
  <si>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</si>
  <si>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</si>
  <si>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</si>
  <si>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</si>
  <si>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</si>
  <si>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</si>
  <si>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</si>
  <si>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</si>
  <si>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</si>
  <si>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</si>
  <si>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</si>
  <si>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</si>
  <si>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</si>
  <si>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</si>
  <si>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</si>
  <si>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</si>
  <si>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</si>
  <si>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</si>
  <si>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</si>
  <si>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</si>
  <si>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</si>
  <si>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</si>
  <si>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</si>
  <si>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</si>
  <si>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</si>
  <si>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</si>
  <si>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</si>
  <si>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</si>
  <si>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</si>
  <si>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</si>
  <si>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</si>
  <si>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</si>
  <si>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</si>
  <si>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</si>
  <si>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</si>
  <si>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</si>
  <si>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</si>
  <si>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</si>
  <si>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</si>
  <si>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</si>
  <si>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</si>
  <si>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</si>
  <si>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</si>
  <si>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</si>
  <si>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</si>
  <si>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</si>
  <si>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</si>
  <si>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</si>
  <si>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</si>
  <si>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</si>
  <si>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</si>
  <si>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</si>
  <si>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</si>
  <si>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</si>
  <si>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</si>
  <si>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</si>
  <si>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</si>
  <si>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</si>
  <si>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</si>
  <si>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</si>
  <si>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</si>
  <si>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</si>
  <si>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</si>
  <si>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</si>
  <si>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</si>
  <si>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</si>
  <si>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</si>
  <si>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</si>
  <si>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</si>
  <si>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</si>
  <si>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</si>
  <si>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</si>
  <si>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</si>
  <si>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</si>
  <si>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</si>
  <si>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</si>
  <si>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</si>
  <si>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</si>
  <si>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</si>
  <si>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</si>
  <si>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</si>
  <si>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</si>
  <si>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</si>
  <si>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</si>
  <si>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</si>
  <si>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</si>
  <si>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</si>
  <si>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</si>
  <si>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</si>
  <si>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</si>
  <si>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</si>
  <si>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</si>
  <si>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</si>
  <si>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</si>
  <si>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</si>
  <si>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</si>
  <si>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</si>
  <si>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</si>
  <si>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</si>
  <si>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</si>
  <si>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</si>
  <si>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</si>
  <si>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</si>
  <si>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</si>
  <si>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</si>
  <si>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</si>
  <si>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</si>
  <si>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</si>
  <si>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</si>
  <si>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</si>
  <si>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</si>
  <si>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</si>
  <si>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</si>
  <si>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</si>
  <si>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</si>
  <si>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</si>
  <si>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</si>
  <si>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</si>
  <si>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</si>
  <si>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</si>
  <si>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</si>
  <si>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</si>
  <si>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</si>
  <si>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</si>
  <si>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</si>
  <si>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</si>
  <si>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</si>
  <si>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</si>
  <si>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</si>
  <si>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</si>
  <si>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</si>
  <si>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</si>
  <si>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</si>
  <si>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</si>
  <si>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</si>
  <si>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</si>
  <si>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</si>
  <si>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</si>
  <si>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</si>
  <si>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</si>
  <si>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</si>
  <si>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</si>
  <si>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</si>
  <si>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</si>
  <si>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</si>
  <si>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</si>
  <si>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</si>
  <si>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</si>
  <si>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</si>
  <si>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</si>
  <si>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</si>
  <si>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</si>
  <si>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</si>
  <si>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</si>
  <si>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</si>
  <si>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</si>
  <si>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</si>
  <si>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</si>
  <si>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</si>
  <si>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</si>
  <si>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</si>
  <si>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</si>
  <si>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</si>
  <si>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</si>
  <si>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</si>
  <si>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</si>
  <si>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</si>
  <si>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</si>
  <si>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</si>
  <si>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</si>
  <si>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</si>
  <si>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</si>
  <si>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</si>
  <si>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</si>
  <si>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</si>
  <si>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</si>
  <si>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</si>
  <si>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</si>
  <si>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</si>
  <si>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</si>
  <si>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</si>
  <si>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</si>
  <si>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</si>
  <si>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</si>
  <si>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</si>
  <si>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</si>
  <si>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</si>
  <si>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</si>
  <si>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</si>
  <si>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</si>
  <si>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</si>
  <si>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</si>
  <si>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</si>
  <si>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</si>
  <si>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</si>
  <si>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</si>
  <si>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</si>
  <si>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</si>
  <si>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</si>
  <si>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</si>
  <si>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</si>
  <si>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</si>
  <si>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</si>
  <si>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</si>
  <si>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</si>
  <si>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</si>
  <si>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</si>
  <si>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</si>
  <si>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</si>
  <si>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</si>
  <si>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</si>
  <si>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</si>
  <si>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</si>
  <si>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</si>
  <si>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</si>
  <si>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</si>
  <si>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</si>
  <si>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</si>
  <si>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</si>
  <si>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</si>
  <si>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</si>
  <si>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</si>
  <si>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</si>
  <si>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</si>
  <si>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</si>
  <si>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</si>
  <si>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</si>
  <si>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</si>
  <si>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</si>
  <si>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</si>
  <si>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</si>
  <si>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</si>
  <si>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</si>
  <si>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</si>
  <si>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</si>
  <si>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</si>
  <si>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</si>
  <si>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</si>
  <si>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</si>
  <si>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</si>
  <si>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</si>
  <si>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</si>
  <si>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</si>
  <si>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</si>
  <si>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</si>
  <si>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</si>
  <si>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</si>
  <si>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</si>
  <si>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</si>
  <si>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</si>
  <si>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</si>
  <si>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</si>
  <si>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</si>
  <si>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</si>
  <si>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</si>
  <si>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</si>
  <si>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</si>
  <si>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</si>
  <si>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</si>
  <si>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</si>
  <si>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</si>
  <si>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</si>
  <si>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</si>
  <si>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</si>
  <si>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</si>
  <si>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</si>
  <si>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</si>
  <si>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</si>
  <si>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</si>
  <si>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</si>
  <si>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</si>
  <si>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</si>
  <si>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</si>
  <si>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</si>
  <si>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</si>
  <si>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</si>
  <si>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</si>
  <si>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</si>
  <si>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</si>
  <si>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</si>
  <si>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</si>
  <si>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</si>
  <si>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</si>
  <si>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</si>
  <si>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</si>
  <si>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</si>
  <si>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</si>
  <si>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</si>
  <si>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</si>
  <si>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</si>
  <si>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</si>
  <si>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</si>
  <si>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</si>
  <si>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</si>
  <si>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</si>
  <si>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</si>
  <si>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</si>
  <si>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</si>
  <si>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</si>
  <si>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</si>
  <si>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</si>
  <si>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</si>
  <si>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</si>
  <si>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</si>
  <si>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</si>
  <si>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</si>
  <si>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</si>
  <si>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</si>
  <si>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</si>
  <si>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</si>
  <si>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</si>
  <si>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</si>
  <si>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</si>
  <si>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</si>
  <si>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</si>
  <si>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</si>
  <si>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</si>
  <si>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</si>
  <si>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</si>
  <si>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</si>
  <si>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</si>
  <si>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</si>
  <si>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</si>
  <si>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</si>
  <si>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</si>
  <si>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</si>
  <si>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</si>
  <si>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</si>
  <si>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</si>
  <si>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</si>
  <si>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</si>
  <si>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</si>
  <si>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</si>
  <si>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</si>
  <si>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</si>
  <si>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</si>
  <si>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</si>
  <si>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</si>
  <si>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</si>
  <si>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</si>
  <si>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</si>
  <si>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</si>
  <si>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</si>
  <si>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</si>
  <si>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</si>
  <si>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</si>
  <si>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</si>
  <si>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</si>
  <si>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</si>
  <si>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</si>
  <si>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</si>
  <si>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</si>
  <si>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</si>
  <si>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</si>
  <si>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</si>
  <si>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</si>
  <si>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</si>
  <si>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</si>
  <si>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</si>
  <si>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</si>
  <si>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</si>
  <si>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</si>
  <si>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</si>
  <si>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</si>
  <si>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</si>
  <si>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</si>
  <si>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</si>
  <si>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</si>
  <si>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</si>
  <si>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</si>
  <si>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</si>
  <si>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</si>
  <si>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</si>
  <si>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</si>
  <si>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</si>
  <si>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</si>
  <si>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</si>
  <si>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</si>
  <si>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</si>
  <si>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</si>
  <si>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</si>
  <si>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</si>
  <si>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</si>
  <si>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</si>
  <si>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</si>
  <si>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</si>
  <si>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</si>
  <si>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</si>
  <si>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</si>
  <si>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</si>
  <si>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</si>
  <si>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</si>
  <si>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</si>
  <si>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</si>
  <si>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</si>
  <si>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</si>
  <si>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</si>
  <si>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</si>
  <si>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</si>
  <si>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</si>
  <si>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</si>
  <si>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</si>
  <si>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</si>
  <si>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</si>
  <si>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</si>
  <si>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</si>
  <si>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</si>
  <si>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</si>
  <si>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</si>
  <si>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</si>
  <si>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</si>
  <si>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</si>
  <si>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</si>
  <si>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</si>
  <si>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</si>
  <si>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</si>
  <si>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</si>
  <si>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</si>
  <si>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</si>
  <si>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</si>
  <si>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</si>
  <si>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</si>
  <si>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</si>
  <si>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</si>
  <si>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</si>
  <si>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</si>
  <si>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</si>
  <si>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</si>
  <si>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</si>
  <si>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</si>
  <si>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</si>
  <si>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</si>
  <si>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</si>
  <si>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</si>
  <si>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</si>
  <si>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</si>
  <si>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</si>
  <si>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</si>
  <si>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</si>
  <si>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</si>
  <si>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</si>
  <si>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</si>
  <si>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</si>
  <si>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</si>
  <si>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</si>
  <si>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</si>
  <si>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</si>
  <si>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</si>
  <si>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</si>
  <si>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</si>
  <si>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</si>
  <si>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</si>
  <si>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</si>
  <si>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</si>
  <si>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</si>
  <si>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</si>
  <si>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</si>
  <si>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</si>
  <si>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</si>
  <si>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</si>
  <si>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</si>
  <si>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</si>
  <si>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</si>
  <si>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</si>
  <si>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</si>
  <si>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</si>
  <si>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</si>
  <si>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</si>
  <si>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</si>
  <si>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</si>
  <si>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</si>
  <si>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</si>
  <si>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</si>
  <si>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</si>
  <si>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</si>
  <si>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</si>
  <si>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</si>
  <si>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</si>
  <si>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</si>
  <si>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</si>
  <si>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</si>
  <si>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</si>
  <si>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</si>
  <si>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</si>
  <si>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</si>
  <si>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</si>
  <si>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</si>
  <si>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</si>
  <si>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</si>
  <si>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</si>
  <si>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</si>
  <si>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</si>
  <si>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</si>
  <si>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</si>
  <si>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</si>
  <si>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</si>
  <si>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</si>
  <si>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</si>
  <si>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</si>
  <si>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</si>
  <si>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</si>
  <si>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</si>
  <si>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</si>
  <si>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</si>
  <si>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</si>
  <si>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</si>
  <si>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</si>
  <si>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</si>
  <si>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</si>
  <si>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</si>
  <si>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</si>
  <si>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</si>
  <si>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</si>
  <si>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</si>
  <si>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</si>
  <si>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</si>
  <si>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</si>
  <si>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</si>
  <si>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</si>
  <si>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</si>
  <si>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</si>
  <si>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</si>
  <si>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</si>
  <si>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</si>
  <si>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</si>
  <si>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</si>
  <si>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</si>
  <si>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</si>
  <si>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</si>
  <si>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</si>
  <si>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</si>
  <si>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</si>
  <si>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</si>
  <si>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</si>
  <si>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</si>
  <si>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</si>
  <si>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</si>
  <si>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</si>
  <si>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</si>
  <si>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</si>
  <si>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</si>
  <si>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</si>
  <si>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</si>
  <si>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</si>
  <si>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</si>
  <si>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</si>
  <si>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</si>
  <si>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</si>
  <si>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</si>
  <si>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</si>
  <si>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</si>
  <si>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</si>
  <si>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</si>
  <si>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</si>
  <si>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</si>
  <si>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</si>
  <si>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</si>
  <si>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</si>
  <si>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</si>
  <si>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</si>
  <si>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</si>
  <si>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</si>
  <si>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</si>
  <si>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</si>
  <si>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</si>
  <si>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</si>
  <si>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</si>
  <si>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</si>
  <si>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</si>
  <si>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</si>
  <si>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</si>
  <si>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</si>
  <si>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</si>
  <si>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</si>
  <si>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</si>
  <si>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</si>
  <si>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</si>
  <si>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</si>
  <si>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</si>
  <si>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</si>
  <si>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</si>
  <si>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</si>
  <si>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</si>
  <si>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</si>
  <si>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</si>
  <si>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</si>
  <si>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</si>
  <si>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</si>
  <si>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</si>
  <si>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</si>
  <si>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</si>
  <si>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</si>
  <si>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</si>
  <si>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</si>
  <si>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</si>
  <si>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</si>
  <si>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</si>
  <si>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</si>
  <si>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</si>
  <si>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</si>
  <si>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</si>
  <si>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</si>
  <si>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</si>
  <si>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</si>
  <si>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</si>
  <si>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</si>
  <si>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</si>
  <si>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</si>
  <si>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</si>
  <si>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</si>
  <si>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</si>
  <si>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</si>
  <si>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</si>
  <si>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</si>
  <si>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</si>
  <si>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</si>
  <si>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</si>
  <si>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</si>
  <si>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</si>
  <si>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</si>
  <si>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</si>
  <si>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</si>
  <si>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</si>
  <si>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</si>
  <si>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</si>
  <si>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</si>
  <si>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</si>
  <si>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</si>
  <si>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</si>
  <si>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</si>
  <si>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</si>
  <si>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</si>
  <si>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</si>
  <si>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</si>
  <si>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</si>
  <si>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</si>
  <si>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</si>
  <si>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</si>
  <si>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</si>
  <si>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</si>
  <si>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</si>
  <si>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</si>
  <si>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</si>
  <si>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</si>
  <si>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</si>
  <si>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</si>
  <si>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</si>
  <si>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</si>
  <si>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</si>
  <si>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</si>
  <si>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</si>
  <si>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</si>
  <si>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</si>
  <si>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</si>
  <si>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</si>
  <si>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</si>
  <si>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</si>
  <si>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</si>
  <si>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</si>
  <si>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</si>
  <si>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</si>
  <si>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</si>
  <si>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</si>
  <si>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</si>
  <si>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</si>
  <si>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</si>
  <si>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</si>
  <si>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</si>
  <si>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</si>
  <si>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</si>
  <si>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</si>
  <si>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</si>
  <si>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</si>
  <si>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</si>
  <si>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</si>
  <si>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</si>
  <si>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</si>
  <si>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</si>
  <si>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</si>
  <si>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</si>
  <si>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</si>
  <si>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</si>
  <si>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</si>
  <si>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</si>
  <si>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</si>
  <si>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</si>
  <si>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</si>
  <si>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</si>
  <si>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</si>
  <si>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</si>
  <si>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</si>
  <si>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</si>
  <si>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</si>
  <si>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</si>
  <si>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</si>
  <si>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</si>
  <si>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</si>
  <si>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</si>
  <si>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</si>
  <si>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</si>
  <si>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</si>
  <si>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</si>
  <si>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</si>
  <si>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</si>
  <si>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</si>
  <si>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</si>
  <si>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</si>
  <si>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</si>
  <si>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</si>
  <si>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</si>
  <si>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</si>
  <si>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</si>
  <si>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</si>
  <si>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</si>
  <si>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</si>
  <si>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</si>
  <si>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</si>
  <si>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</si>
  <si>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</si>
  <si>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</si>
  <si>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</si>
  <si>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</si>
  <si>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</si>
  <si>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</si>
  <si>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</si>
  <si>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</si>
  <si>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</si>
  <si>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</si>
  <si>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</si>
  <si>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</si>
  <si>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</si>
  <si>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</si>
  <si>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</si>
  <si>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</si>
  <si>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</si>
  <si>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</si>
  <si>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</si>
  <si>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</si>
  <si>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</si>
  <si>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</si>
  <si>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</si>
  <si>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</si>
  <si>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</si>
  <si>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</si>
  <si>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</si>
  <si>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</si>
  <si>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</si>
  <si>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</si>
  <si>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</si>
  <si>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</si>
  <si>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</si>
  <si>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</si>
  <si>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</si>
  <si>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</si>
  <si>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</si>
  <si>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</si>
  <si>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</si>
  <si>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</si>
  <si>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</si>
  <si>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</si>
  <si>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</si>
  <si>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</si>
  <si>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</si>
  <si>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</si>
  <si>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</si>
  <si>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</si>
  <si>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</si>
  <si>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</si>
  <si>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</si>
  <si>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</si>
  <si>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</si>
  <si>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</si>
  <si>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</si>
  <si>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</si>
  <si>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</si>
  <si>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</si>
  <si>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</si>
  <si>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</si>
  <si>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</si>
  <si>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</si>
  <si>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</si>
  <si>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</si>
  <si>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</si>
  <si>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</si>
  <si>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</si>
  <si>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</si>
  <si>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</si>
  <si>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</si>
  <si>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</si>
  <si>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</si>
  <si>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</si>
  <si>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</si>
  <si>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</si>
  <si>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</si>
  <si>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</si>
  <si>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</si>
  <si>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</si>
  <si>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</si>
  <si>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</si>
  <si>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</si>
  <si>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</si>
  <si>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</si>
  <si>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</si>
  <si>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</si>
  <si>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</si>
  <si>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</si>
  <si>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</si>
  <si>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</si>
  <si>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</si>
  <si>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</si>
  <si>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</si>
  <si>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</si>
  <si>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</si>
  <si>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</si>
  <si>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</si>
  <si>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</si>
  <si>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</si>
  <si>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</si>
  <si>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</si>
  <si>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</si>
  <si>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</si>
  <si>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</si>
  <si>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</si>
  <si>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</si>
  <si>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</si>
  <si>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</si>
  <si>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</si>
  <si>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</si>
  <si>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</si>
  <si>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</si>
  <si>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</si>
  <si>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</si>
  <si>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</si>
  <si>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</si>
  <si>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</si>
  <si>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</si>
  <si>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</si>
  <si>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</si>
  <si>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</si>
  <si>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</si>
  <si>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</si>
  <si>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</si>
  <si>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</si>
  <si>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</si>
  <si>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</si>
  <si>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</si>
  <si>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</si>
  <si>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</si>
  <si>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</si>
  <si>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</si>
  <si>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</si>
  <si>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</si>
  <si>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</si>
  <si>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</si>
  <si>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</si>
  <si>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</si>
  <si>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</si>
  <si>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</si>
  <si>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</si>
  <si>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</si>
  <si>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</si>
  <si>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</si>
  <si>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</si>
  <si>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</si>
  <si>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</si>
  <si>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</si>
  <si>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</si>
  <si>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</si>
  <si>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</si>
  <si>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</si>
  <si>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</si>
  <si>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</si>
  <si>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</si>
  <si>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</si>
  <si>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</si>
  <si>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</si>
  <si>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</si>
  <si>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</si>
  <si>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</si>
  <si>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</si>
  <si>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</si>
  <si>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</si>
  <si>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</si>
  <si>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</si>
  <si>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</si>
  <si>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</si>
  <si>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</si>
  <si>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</si>
  <si>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</si>
  <si>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</si>
  <si>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</si>
  <si>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</si>
  <si>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</si>
  <si>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</si>
  <si>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</si>
  <si>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</si>
  <si>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</si>
  <si>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</si>
  <si>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</si>
  <si>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</si>
  <si>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</si>
  <si>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</si>
  <si>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</si>
  <si>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</si>
  <si>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</si>
  <si>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</si>
  <si>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</si>
  <si>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</si>
  <si>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</si>
  <si>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</si>
  <si>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</si>
  <si>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</si>
  <si>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</si>
  <si>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</si>
  <si>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</si>
  <si>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</si>
  <si>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</si>
  <si>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</si>
  <si>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</si>
  <si>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</si>
  <si>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</si>
  <si>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</si>
  <si>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</si>
  <si>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</si>
  <si>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</si>
  <si>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</si>
  <si>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</si>
  <si>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</si>
  <si>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</si>
  <si>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</si>
  <si>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</si>
  <si>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</si>
  <si>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</si>
  <si>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</si>
  <si>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</si>
  <si>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</si>
  <si>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</si>
  <si>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</si>
  <si>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</si>
  <si>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</si>
  <si>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</si>
  <si>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</si>
  <si>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</si>
  <si>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</si>
  <si>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</si>
  <si>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</si>
  <si>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</si>
  <si>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</si>
  <si>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</si>
  <si>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</si>
  <si>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</si>
  <si>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</si>
  <si>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</si>
  <si>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</si>
  <si>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</si>
  <si>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</si>
  <si>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</si>
  <si>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</si>
  <si>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</si>
  <si>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</si>
  <si>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</si>
  <si>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</si>
  <si>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</si>
  <si>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</si>
  <si>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</si>
  <si>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</si>
  <si>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</si>
  <si>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</si>
  <si>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</si>
  <si>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</si>
  <si>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</si>
  <si>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</si>
  <si>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</si>
  <si>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</si>
  <si>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</si>
  <si>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</si>
  <si>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</si>
  <si>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</si>
  <si>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</si>
  <si>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</si>
  <si>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</si>
  <si>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</si>
  <si>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</si>
  <si>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</si>
  <si>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</si>
  <si>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</si>
  <si>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</si>
  <si>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</si>
  <si>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</si>
  <si>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</si>
  <si>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</si>
  <si>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</si>
  <si>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</si>
  <si>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</si>
  <si>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</si>
  <si>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</si>
  <si>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</si>
  <si>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</si>
  <si>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</si>
  <si>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</si>
  <si>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</si>
  <si>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</si>
  <si>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</si>
  <si>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</si>
  <si>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</si>
  <si>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</si>
  <si>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</si>
  <si>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</si>
  <si>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</si>
  <si>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</si>
  <si>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</si>
  <si>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</si>
  <si>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</si>
  <si>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</si>
  <si>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</si>
  <si>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</si>
  <si>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</si>
  <si>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</si>
  <si>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</si>
  <si>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</si>
  <si>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</si>
  <si>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</si>
  <si>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</si>
  <si>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</si>
  <si>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</si>
  <si>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</si>
  <si>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</si>
  <si>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</si>
  <si>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</si>
  <si>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</si>
  <si>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</si>
  <si>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</si>
  <si>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</si>
  <si>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</si>
  <si>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</si>
  <si>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</si>
  <si>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</si>
  <si>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</si>
  <si>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</si>
  <si>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</si>
  <si>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</si>
  <si>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</si>
  <si>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</si>
  <si>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</si>
  <si>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</si>
  <si>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</si>
  <si>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</si>
  <si>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</si>
  <si>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</si>
  <si>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</si>
  <si>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</si>
  <si>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</si>
  <si>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</si>
  <si>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</si>
  <si>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</si>
  <si>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</si>
  <si>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</si>
  <si>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</si>
  <si>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</si>
  <si>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</si>
  <si>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</si>
  <si>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</si>
  <si>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</si>
  <si>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</si>
  <si>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</si>
  <si>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</si>
  <si>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</si>
  <si>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</si>
  <si>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</si>
  <si>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</si>
  <si>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</si>
  <si>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</si>
  <si>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</si>
  <si>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</si>
  <si>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</si>
  <si>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</si>
  <si>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</si>
  <si>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</si>
  <si>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</si>
  <si>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</si>
  <si>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</si>
  <si>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</si>
  <si>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</si>
  <si>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</si>
  <si>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</si>
  <si>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</si>
  <si>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</si>
  <si>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</si>
  <si>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</si>
  <si>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</si>
  <si>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</si>
  <si>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</si>
  <si>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</si>
  <si>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</si>
  <si>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</si>
  <si>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</si>
  <si>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</si>
  <si>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</si>
  <si>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</si>
  <si>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</si>
  <si>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</si>
  <si>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</si>
  <si>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</si>
  <si>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</si>
  <si>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</si>
  <si>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</si>
  <si>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</si>
  <si>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</si>
  <si>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</si>
  <si>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</si>
  <si>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</si>
  <si>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</si>
  <si>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</si>
  <si>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</si>
  <si>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</si>
  <si>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</si>
  <si>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</si>
  <si>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</si>
  <si>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</si>
  <si>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</si>
  <si>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</si>
  <si>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</si>
  <si>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</si>
  <si>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</si>
  <si>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</si>
  <si>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</si>
  <si>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</si>
  <si>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</si>
  <si>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</si>
  <si>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</si>
  <si>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</si>
  <si>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</si>
  <si>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</si>
  <si>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</si>
  <si>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</si>
  <si>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</si>
  <si>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</si>
  <si>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</si>
  <si>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</si>
  <si>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</si>
  <si>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</si>
  <si>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</si>
  <si>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</si>
  <si>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</si>
  <si>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</si>
  <si>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</si>
  <si>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</si>
  <si>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</si>
  <si>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</si>
  <si>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</si>
  <si>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</si>
  <si>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</si>
  <si>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</si>
  <si>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</si>
  <si>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</si>
  <si>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</si>
  <si>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</si>
  <si>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</si>
  <si>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</si>
  <si>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</si>
  <si>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</si>
  <si>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</si>
  <si>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</si>
  <si>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</si>
  <si>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</si>
  <si>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</si>
  <si>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</si>
  <si>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</si>
  <si>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</si>
  <si>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</si>
  <si>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</si>
  <si>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</si>
  <si>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</si>
  <si>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</si>
  <si>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</si>
  <si>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</si>
  <si>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</si>
  <si>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</si>
  <si>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</si>
  <si>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</si>
  <si>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</si>
  <si>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</si>
  <si>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</si>
  <si>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</si>
  <si>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</si>
  <si>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</si>
  <si>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</si>
  <si>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</si>
  <si>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</si>
  <si>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</si>
  <si>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</si>
  <si>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</si>
  <si>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</si>
  <si>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</si>
  <si>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</si>
  <si>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</si>
  <si>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</si>
  <si>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</si>
  <si>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</si>
  <si>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</si>
  <si>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</si>
  <si>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</si>
  <si>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</si>
  <si>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</si>
  <si>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</si>
  <si>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</si>
  <si>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</si>
  <si>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</si>
  <si>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</si>
  <si>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</si>
  <si>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</si>
  <si>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</si>
  <si>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</si>
  <si>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</si>
  <si>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</si>
  <si>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</si>
  <si>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</si>
  <si>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</si>
  <si>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</si>
  <si>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</si>
  <si>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</si>
  <si>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</si>
  <si>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</si>
  <si>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</si>
  <si>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</si>
  <si>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</si>
  <si>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</si>
  <si>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</si>
  <si>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</si>
  <si>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</si>
  <si>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</si>
  <si>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</si>
  <si>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</si>
  <si>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</si>
  <si>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</si>
  <si>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</si>
  <si>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</si>
  <si>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</si>
  <si>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</si>
  <si>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</si>
  <si>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</si>
  <si>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</si>
  <si>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</si>
  <si>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</si>
  <si>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</si>
  <si>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</si>
  <si>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</si>
  <si>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</si>
  <si>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</si>
  <si>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</si>
  <si>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</si>
  <si>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</si>
  <si>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</si>
  <si>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</si>
  <si>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</si>
  <si>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</si>
  <si>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</si>
  <si>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</si>
  <si>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</si>
  <si>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</si>
  <si>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</si>
  <si>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</si>
  <si>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</si>
  <si>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</si>
  <si>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</si>
  <si>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</si>
  <si>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</si>
  <si>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</si>
  <si>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</si>
  <si>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</si>
  <si>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</si>
  <si>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</si>
  <si>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</si>
  <si>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</si>
  <si>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</si>
  <si>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</si>
  <si>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</si>
  <si>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</si>
  <si>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</si>
  <si>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</si>
  <si>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</si>
  <si>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</si>
  <si>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</si>
  <si>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</si>
  <si>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</si>
  <si>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</si>
  <si>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</si>
  <si>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</si>
  <si>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</si>
  <si>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</si>
  <si>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</si>
  <si>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</si>
  <si>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</si>
  <si>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</si>
  <si>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</si>
  <si>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</si>
  <si>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</si>
  <si>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</si>
  <si>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</si>
  <si>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</si>
  <si>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</si>
  <si>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</si>
  <si>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</si>
  <si>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</si>
  <si>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</si>
  <si>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</si>
  <si>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</si>
  <si>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</si>
  <si>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</si>
  <si>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</si>
  <si>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</si>
  <si>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</si>
  <si>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</si>
  <si>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</si>
  <si>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</si>
  <si>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</si>
  <si>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</si>
  <si>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</si>
  <si>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</si>
  <si>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</si>
  <si>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</si>
  <si>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</si>
  <si>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</si>
  <si>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</si>
  <si>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</si>
  <si>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</si>
  <si>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</si>
  <si>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</si>
  <si>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</si>
  <si>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</si>
  <si>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</si>
  <si>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</si>
  <si>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</si>
  <si>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</si>
  <si>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</si>
  <si>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</si>
  <si>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</si>
  <si>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</si>
  <si>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</si>
  <si>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</si>
  <si>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</si>
  <si>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</si>
  <si>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</si>
  <si>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</si>
  <si>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</si>
  <si>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</si>
  <si>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</si>
  <si>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</si>
  <si>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</si>
  <si>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</si>
  <si>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</si>
  <si>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</si>
  <si>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</si>
  <si>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</si>
  <si>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</si>
  <si>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</si>
  <si>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</si>
  <si>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</si>
  <si>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</si>
  <si>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</si>
  <si>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</si>
  <si>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</si>
  <si>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</si>
  <si>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</si>
  <si>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</si>
  <si>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</si>
  <si>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</si>
  <si>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</si>
  <si>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</si>
  <si>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</si>
  <si>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</si>
  <si>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</si>
  <si>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</si>
  <si>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</si>
  <si>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</si>
  <si>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</si>
  <si>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</si>
  <si>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</si>
  <si>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</si>
  <si>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</si>
  <si>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</si>
  <si>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</si>
  <si>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</si>
  <si>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</si>
  <si>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</si>
  <si>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</si>
  <si>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</si>
  <si>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</si>
  <si>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</si>
  <si>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</si>
  <si>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</si>
  <si>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</si>
  <si>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</si>
  <si>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</si>
  <si>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</si>
  <si>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</si>
  <si>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</si>
  <si>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</si>
  <si>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</si>
  <si>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</si>
  <si>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</si>
  <si>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</si>
  <si>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</si>
  <si>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</si>
  <si>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</si>
  <si>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</si>
  <si>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</si>
  <si>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</si>
  <si>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</si>
  <si>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</si>
  <si>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</si>
  <si>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</si>
  <si>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</si>
  <si>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</si>
  <si>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</si>
  <si>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</si>
  <si>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</si>
  <si>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</si>
  <si>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</si>
  <si>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</si>
  <si>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</si>
  <si>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</si>
  <si>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</si>
  <si>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</si>
  <si>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</si>
  <si>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</si>
  <si>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</si>
  <si>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</si>
  <si>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</si>
  <si>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</si>
  <si>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</si>
  <si>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</si>
  <si>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</si>
  <si>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</si>
  <si>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</si>
  <si>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</si>
  <si>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</si>
  <si>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</si>
  <si>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</si>
  <si>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</si>
  <si>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</si>
  <si>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</si>
  <si>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</si>
  <si>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</si>
  <si>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</si>
  <si>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</si>
  <si>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</si>
  <si>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</si>
  <si>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</si>
  <si>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</si>
  <si>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</si>
  <si>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</si>
  <si>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</si>
  <si>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</si>
  <si>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</si>
  <si>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</si>
  <si>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</si>
  <si>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</si>
  <si>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</si>
  <si>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</si>
  <si>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</si>
  <si>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</si>
  <si>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</si>
  <si>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</si>
  <si>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</si>
  <si>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</si>
  <si>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</si>
  <si>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</si>
  <si>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</si>
  <si>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</si>
  <si>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</si>
  <si>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</si>
  <si>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</si>
  <si>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</si>
  <si>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</si>
  <si>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</si>
  <si>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</si>
  <si>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</si>
  <si>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</si>
  <si>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</si>
  <si>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</si>
  <si>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</si>
  <si>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</si>
  <si>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</si>
  <si>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</si>
  <si>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</si>
  <si>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</si>
  <si>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</si>
  <si>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</si>
  <si>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</si>
  <si>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</si>
  <si>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</si>
  <si>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</si>
  <si>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</si>
  <si>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</si>
  <si>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</si>
  <si>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</si>
  <si>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</si>
  <si>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</si>
  <si>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</si>
  <si>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</si>
  <si>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</si>
  <si>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</si>
  <si>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</si>
  <si>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</si>
  <si>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</si>
  <si>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</si>
  <si>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</si>
  <si>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</si>
  <si>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</si>
  <si>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</si>
  <si>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</si>
  <si>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</si>
  <si>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</si>
  <si>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</si>
  <si>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</si>
  <si>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</si>
  <si>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</si>
  <si>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</si>
  <si>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</si>
  <si>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</si>
  <si>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</si>
  <si>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</si>
  <si>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</si>
  <si>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</si>
  <si>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</si>
  <si>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</si>
  <si>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</si>
  <si>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</si>
  <si>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</si>
  <si>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</si>
  <si>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</si>
  <si>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</si>
  <si>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</si>
  <si>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</si>
  <si>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</si>
  <si>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</si>
  <si>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</si>
  <si>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</si>
  <si>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</si>
  <si>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</si>
  <si>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</si>
  <si>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</si>
  <si>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</si>
  <si>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</si>
  <si>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</si>
  <si>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</si>
  <si>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</si>
  <si>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</si>
  <si>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</si>
  <si>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</si>
  <si>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</si>
  <si>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</si>
  <si>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</si>
  <si>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</si>
  <si>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</si>
  <si>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</si>
  <si>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</si>
  <si>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</si>
  <si>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</si>
  <si>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</si>
  <si>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</si>
  <si>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</si>
  <si>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</si>
  <si>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</si>
  <si>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</si>
  <si>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</si>
  <si>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</si>
  <si>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</si>
  <si>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</si>
  <si>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</si>
  <si>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</si>
  <si>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</si>
  <si>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</si>
  <si>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</si>
  <si>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</si>
  <si>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</si>
  <si>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</si>
  <si>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</si>
  <si>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</si>
  <si>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</si>
  <si>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</si>
  <si>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</si>
  <si>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</si>
  <si>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</si>
  <si>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</si>
  <si>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</si>
  <si>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</si>
  <si>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</si>
  <si>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</si>
  <si>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</si>
  <si>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</si>
  <si>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</si>
  <si>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</si>
  <si>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</si>
  <si>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</si>
  <si>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</si>
  <si>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</si>
  <si>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</si>
  <si>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</si>
  <si>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</si>
  <si>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</si>
  <si>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</si>
  <si>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</si>
  <si>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</si>
  <si>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</si>
  <si>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</si>
  <si>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</si>
  <si>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</si>
  <si>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</si>
  <si>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</si>
  <si>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</si>
  <si>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</si>
  <si>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</si>
  <si>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</si>
  <si>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</si>
  <si>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</si>
  <si>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</si>
  <si>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</si>
  <si>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</si>
  <si>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</si>
  <si>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</si>
  <si>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</si>
  <si>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</si>
  <si>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</si>
  <si>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</si>
  <si>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</si>
  <si>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</si>
  <si>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</si>
  <si>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</si>
  <si>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</si>
  <si>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</si>
  <si>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</si>
  <si>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</si>
  <si>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</si>
  <si>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</si>
  <si>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</si>
  <si>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</si>
  <si>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</si>
  <si>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</si>
  <si>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</si>
  <si>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</si>
  <si>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</si>
  <si>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</si>
  <si>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</si>
  <si>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</si>
  <si>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</si>
  <si>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</si>
  <si>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</si>
  <si>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</si>
  <si>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</si>
  <si>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</si>
  <si>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</si>
  <si>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</si>
  <si>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</si>
  <si>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</si>
  <si>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</si>
  <si>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</si>
  <si>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</si>
  <si>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</si>
  <si>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</si>
  <si>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</si>
  <si>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</si>
  <si>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</si>
  <si>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</si>
  <si>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</si>
  <si>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</si>
  <si>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</si>
  <si>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</si>
  <si>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</si>
  <si>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</si>
  <si>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</si>
  <si>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</si>
  <si>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</si>
  <si>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</si>
  <si>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</si>
  <si>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</si>
  <si>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</si>
  <si>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</si>
  <si>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</si>
  <si>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</si>
  <si>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</si>
  <si>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</si>
  <si>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</si>
  <si>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</si>
  <si>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</si>
  <si>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</si>
  <si>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</si>
  <si>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</si>
  <si>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</si>
  <si>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</si>
  <si>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</si>
  <si>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</si>
  <si>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</si>
  <si>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</si>
  <si>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</si>
  <si>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</si>
  <si>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</si>
  <si>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</si>
  <si>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</si>
  <si>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</si>
  <si>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</si>
  <si>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</si>
  <si>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</si>
  <si>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</si>
  <si>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</si>
  <si>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</si>
  <si>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</si>
  <si>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</si>
  <si>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</si>
  <si>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</si>
  <si>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</si>
  <si>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</si>
  <si>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</si>
  <si>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</si>
  <si>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</si>
  <si>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</si>
  <si>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</si>
  <si>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</si>
  <si>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</si>
  <si>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</si>
  <si>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</si>
  <si>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</si>
  <si>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</si>
  <si>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</si>
  <si>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</si>
  <si>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</si>
  <si>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</si>
  <si>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</si>
  <si>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</si>
  <si>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</si>
  <si>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</si>
  <si>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</si>
  <si>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</si>
  <si>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</si>
  <si>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</si>
  <si>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</si>
  <si>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</si>
  <si>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</si>
  <si>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</si>
  <si>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</si>
  <si>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</si>
  <si>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</si>
  <si>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</si>
  <si>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</si>
  <si>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</si>
  <si>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</si>
  <si>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</si>
  <si>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</si>
  <si>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</si>
  <si>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</si>
  <si>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</si>
  <si>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</si>
  <si>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</si>
  <si>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</si>
  <si>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</si>
  <si>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</si>
  <si>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</si>
  <si>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</si>
  <si>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</si>
  <si>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</si>
  <si>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</si>
  <si>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</si>
  <si>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</si>
  <si>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</si>
  <si>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</si>
  <si>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</si>
  <si>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</si>
  <si>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</si>
  <si>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</si>
  <si>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</si>
  <si>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</si>
  <si>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</si>
  <si>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</si>
  <si>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</si>
  <si>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</si>
  <si>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</si>
  <si>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</si>
  <si>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</si>
  <si>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</si>
  <si>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</si>
  <si>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</si>
  <si>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</si>
  <si>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</si>
  <si>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</si>
  <si>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</si>
  <si>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</si>
  <si>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</si>
  <si>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</si>
  <si>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</si>
  <si>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</si>
  <si>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</si>
  <si>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</si>
  <si>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</si>
  <si>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</si>
  <si>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</si>
  <si>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</si>
  <si>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</si>
  <si>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</si>
  <si>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</si>
  <si>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</si>
  <si>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</si>
  <si>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</si>
  <si>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</si>
  <si>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</si>
  <si>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</si>
  <si>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</si>
  <si>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</si>
  <si>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</si>
  <si>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</si>
  <si>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</si>
  <si>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</si>
  <si>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</si>
  <si>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</si>
  <si>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</si>
  <si>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</si>
  <si>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</si>
  <si>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</si>
  <si>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</si>
  <si>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</si>
  <si>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</si>
  <si>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</si>
  <si>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</si>
  <si>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</si>
  <si>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</si>
  <si>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</si>
  <si>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</si>
  <si>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</si>
  <si>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</si>
  <si>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</si>
  <si>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</si>
  <si>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</si>
  <si>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</si>
  <si>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</si>
  <si>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</si>
  <si>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</si>
  <si>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</si>
  <si>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</si>
  <si>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</si>
  <si>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</si>
  <si>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</si>
  <si>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</si>
  <si>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</si>
  <si>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</si>
  <si>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</si>
  <si>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</si>
  <si>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</si>
  <si>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</si>
  <si>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</si>
  <si>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</si>
  <si>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</si>
  <si>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</si>
  <si>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</si>
  <si>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</si>
  <si>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</si>
  <si>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</si>
  <si>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</si>
  <si>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</si>
  <si>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</si>
  <si>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</si>
  <si>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</si>
  <si>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</si>
  <si>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</si>
  <si>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</si>
  <si>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</si>
  <si>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</si>
  <si>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</si>
  <si>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</si>
  <si>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</si>
  <si>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</si>
  <si>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</si>
  <si>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</si>
  <si>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</si>
  <si>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</si>
  <si>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</si>
  <si>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</si>
  <si>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</si>
  <si>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</si>
  <si>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</si>
  <si>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</si>
  <si>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</si>
  <si>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</si>
  <si>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</si>
  <si>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</si>
  <si>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</si>
  <si>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</si>
  <si>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</si>
  <si>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</si>
  <si>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</si>
  <si>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</si>
  <si>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</si>
  <si>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</si>
  <si>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</si>
  <si>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</si>
  <si>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</si>
  <si>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</si>
  <si>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</si>
  <si>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</si>
  <si>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</si>
  <si>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</si>
  <si>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</si>
  <si>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</si>
  <si>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</si>
  <si>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</si>
  <si>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</si>
  <si>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</si>
  <si>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</si>
  <si>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</si>
  <si>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</si>
  <si>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</si>
  <si>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</si>
  <si>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</si>
  <si>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</si>
  <si>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</si>
  <si>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</si>
  <si>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</si>
  <si>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</si>
  <si>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</si>
  <si>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</si>
  <si>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</si>
  <si>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</si>
  <si>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</si>
  <si>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</si>
  <si>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</si>
  <si>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</si>
  <si>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</si>
  <si>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</si>
  <si>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</si>
  <si>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</si>
  <si>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</si>
  <si>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</si>
  <si>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</si>
  <si>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</si>
  <si>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</si>
  <si>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</si>
  <si>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</si>
  <si>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</si>
  <si>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</si>
  <si>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</si>
  <si>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</si>
  <si>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</si>
  <si>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</si>
  <si>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</si>
  <si>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</si>
  <si>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</si>
  <si>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</si>
  <si>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</si>
  <si>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</si>
  <si>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</si>
  <si>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</si>
  <si>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</si>
  <si>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</si>
  <si>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</si>
  <si>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</si>
  <si>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</si>
  <si>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</si>
  <si>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</si>
  <si>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</si>
  <si>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</si>
  <si>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</si>
  <si>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</si>
  <si>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</si>
  <si>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</si>
  <si>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</si>
  <si>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</si>
  <si>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</si>
  <si>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</si>
  <si>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</si>
  <si>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</si>
  <si>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</si>
  <si>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</si>
  <si>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</si>
  <si>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</si>
  <si>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</si>
  <si>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</si>
  <si>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</si>
  <si>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</si>
  <si>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</si>
  <si>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</si>
  <si>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</si>
  <si>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</si>
  <si>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</si>
  <si>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</si>
  <si>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</si>
  <si>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</si>
  <si>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</si>
  <si>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</si>
  <si>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</si>
  <si>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</si>
  <si>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</si>
  <si>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</si>
  <si>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</si>
  <si>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</si>
  <si>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</si>
  <si>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</si>
  <si>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</si>
  <si>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</si>
  <si>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</si>
  <si>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</si>
  <si>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</si>
  <si>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</si>
  <si>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</si>
  <si>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</si>
  <si>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</si>
  <si>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</si>
  <si>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</si>
  <si>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</si>
  <si>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</si>
  <si>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</si>
  <si>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</si>
  <si>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</si>
  <si>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</si>
  <si>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</si>
  <si>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</si>
  <si>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</si>
  <si>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</si>
  <si>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</si>
  <si>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</si>
  <si>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</si>
  <si>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</si>
  <si>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</si>
  <si>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</si>
  <si>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</si>
  <si>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</si>
  <si>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</si>
  <si>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</si>
  <si>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</si>
  <si>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</si>
  <si>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</si>
  <si>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</si>
  <si>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</si>
  <si>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</si>
  <si>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</si>
  <si>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</si>
  <si>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</si>
  <si>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</si>
  <si>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</si>
  <si>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</si>
  <si>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</si>
  <si>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</si>
  <si>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</si>
  <si>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</si>
  <si>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</si>
  <si>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</si>
  <si>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</si>
  <si>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</si>
  <si>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</si>
  <si>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</si>
  <si>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</si>
  <si>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</si>
  <si>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</si>
  <si>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</si>
  <si>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</si>
  <si>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</si>
  <si>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</si>
  <si>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</si>
  <si>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</si>
  <si>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</si>
  <si>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</si>
  <si>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</si>
  <si>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</si>
  <si>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</si>
  <si>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</si>
  <si>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</si>
  <si>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</si>
  <si>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</si>
  <si>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</si>
  <si>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</si>
  <si>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</si>
  <si>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</si>
  <si>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</si>
  <si>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</si>
  <si>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</si>
  <si>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</si>
  <si>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</si>
  <si>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</si>
  <si>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</si>
  <si>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</si>
  <si>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</si>
  <si>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</si>
  <si>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</si>
  <si>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</si>
  <si>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</si>
  <si>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</si>
  <si>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</si>
  <si>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</si>
  <si>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</si>
  <si>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</si>
  <si>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</si>
  <si>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</si>
  <si>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</si>
  <si>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</si>
  <si>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</si>
  <si>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</si>
  <si>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</si>
  <si>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</si>
  <si>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</si>
  <si>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</si>
  <si>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</si>
  <si>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</si>
  <si>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</si>
  <si>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</si>
  <si>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</si>
  <si>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</si>
  <si>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</si>
  <si>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</si>
  <si>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</si>
  <si>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</si>
  <si>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</si>
  <si>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</si>
  <si>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</si>
  <si>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</si>
  <si>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</si>
  <si>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</si>
  <si>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</si>
  <si>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</si>
  <si>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</si>
  <si>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</si>
  <si>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</si>
  <si>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</si>
  <si>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</si>
  <si>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</si>
  <si>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</si>
  <si>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</si>
  <si>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</si>
  <si>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</si>
  <si>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</si>
  <si>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</si>
  <si>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</si>
  <si>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</si>
  <si>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</si>
  <si>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</si>
  <si>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</si>
  <si>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</si>
  <si>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</si>
  <si>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</si>
  <si>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</si>
  <si>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</si>
  <si>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</si>
  <si>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</si>
  <si>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</si>
  <si>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</si>
  <si>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</si>
  <si>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</si>
  <si>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</si>
  <si>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</si>
  <si>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</si>
  <si>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</si>
  <si>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</si>
  <si>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</si>
  <si>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</si>
  <si>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</si>
  <si>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</si>
  <si>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</si>
  <si>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</si>
  <si>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</si>
  <si>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</si>
  <si>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</si>
  <si>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</si>
  <si>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</si>
  <si>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</si>
  <si>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</si>
  <si>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</si>
  <si>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</si>
  <si>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</si>
  <si>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</si>
  <si>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</si>
  <si>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</si>
  <si>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</si>
  <si>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</si>
  <si>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</si>
  <si>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</si>
  <si>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</si>
  <si>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</si>
  <si>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</si>
  <si>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</si>
  <si>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</si>
  <si>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</si>
  <si>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</si>
  <si>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</si>
  <si>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</si>
  <si>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</si>
  <si>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</si>
  <si>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</si>
  <si>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</si>
  <si>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</si>
  <si>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</si>
  <si>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</si>
  <si>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</si>
  <si>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</si>
  <si>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</si>
  <si>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</si>
  <si>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</si>
  <si>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</si>
  <si>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</si>
  <si>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</si>
  <si>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</si>
  <si>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</si>
  <si>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</si>
  <si>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</si>
  <si>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</si>
  <si>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</si>
  <si>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</si>
  <si>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</si>
  <si>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</si>
  <si>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</si>
  <si>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</si>
  <si>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</si>
  <si>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</si>
  <si>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</si>
  <si>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</si>
  <si>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</si>
  <si>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</si>
  <si>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</si>
  <si>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</si>
  <si>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</si>
  <si>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</si>
  <si>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</si>
  <si>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</si>
  <si>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</si>
  <si>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</si>
  <si>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</si>
  <si>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</si>
  <si>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</si>
  <si>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</si>
  <si>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</si>
  <si>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</si>
  <si>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</si>
  <si>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</si>
  <si>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</si>
  <si>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</si>
  <si>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</si>
  <si>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</si>
  <si>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</si>
  <si>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</si>
  <si>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</si>
  <si>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</si>
  <si>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</si>
  <si>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</si>
  <si>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</si>
  <si>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</si>
  <si>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</si>
  <si>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</si>
  <si>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</si>
  <si>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</si>
  <si>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</si>
  <si>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</si>
  <si>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</si>
  <si>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</si>
  <si>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</si>
  <si>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</si>
  <si>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</si>
  <si>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</si>
  <si>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</si>
  <si>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</si>
  <si>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</si>
  <si>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</si>
  <si>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</si>
  <si>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</si>
  <si>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</si>
  <si>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</si>
  <si>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</si>
  <si>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</si>
  <si>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</si>
  <si>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</si>
  <si>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</si>
  <si>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</si>
  <si>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</si>
  <si>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</si>
  <si>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</si>
  <si>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</si>
  <si>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</si>
  <si>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</si>
  <si>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</si>
  <si>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</si>
  <si>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</si>
  <si>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</si>
  <si>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</si>
  <si>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</si>
  <si>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</si>
  <si>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</si>
  <si>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</si>
  <si>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</si>
  <si>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</si>
  <si>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</si>
  <si>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</si>
  <si>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</si>
  <si>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</si>
  <si>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</si>
  <si>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</si>
  <si>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</si>
  <si>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</si>
  <si>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</si>
  <si>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</si>
  <si>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</si>
  <si>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</si>
  <si>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</si>
  <si>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</si>
  <si>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</si>
  <si>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</si>
  <si>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</si>
  <si>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</si>
  <si>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</si>
  <si>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</si>
  <si>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</si>
  <si>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</si>
  <si>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</si>
  <si>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</si>
  <si>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</si>
  <si>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</si>
  <si>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</si>
  <si>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</si>
  <si>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</si>
  <si>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</si>
  <si>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</si>
  <si>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</si>
  <si>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</si>
  <si>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</si>
  <si>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</si>
  <si>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</si>
  <si>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</si>
  <si>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</si>
  <si>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</si>
  <si>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</si>
  <si>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</si>
  <si>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</si>
  <si>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</si>
  <si>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</si>
  <si>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</si>
  <si>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</si>
  <si>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</si>
  <si>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</si>
  <si>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</si>
  <si>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</si>
  <si>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</si>
  <si>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</si>
  <si>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</si>
  <si>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</si>
  <si>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</si>
  <si>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</si>
  <si>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</si>
  <si>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</si>
  <si>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</si>
  <si>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</si>
  <si>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</si>
  <si>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</si>
  <si>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</si>
  <si>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</si>
  <si>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</si>
  <si>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</si>
  <si>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</si>
  <si>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</si>
  <si>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</si>
  <si>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</si>
  <si>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</si>
  <si>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</si>
  <si>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</si>
  <si>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</si>
  <si>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</si>
  <si>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</si>
  <si>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</si>
  <si>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</si>
  <si>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</si>
  <si>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</si>
  <si>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</si>
  <si>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</si>
  <si>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</si>
  <si>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</si>
  <si>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</si>
  <si>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</si>
  <si>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</si>
  <si>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</si>
  <si>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</si>
  <si>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</si>
  <si>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</si>
  <si>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</si>
  <si>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</si>
  <si>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</si>
  <si>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</si>
  <si>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</si>
  <si>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</si>
  <si>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</si>
  <si>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</si>
  <si>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</si>
  <si>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</si>
  <si>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</si>
  <si>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</si>
  <si>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</si>
  <si>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</si>
  <si>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</si>
  <si>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</si>
  <si>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</si>
  <si>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</si>
  <si>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</si>
  <si>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</si>
  <si>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</si>
  <si>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</si>
  <si>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</si>
  <si>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</si>
  <si>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</si>
  <si>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</si>
  <si>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</si>
  <si>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</si>
  <si>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</si>
  <si>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</si>
  <si>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</si>
  <si>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</si>
  <si>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</si>
  <si>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</si>
  <si>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</si>
  <si>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</si>
  <si>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</si>
  <si>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</si>
  <si>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</si>
  <si>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</si>
  <si>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</si>
  <si>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</si>
  <si>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</si>
  <si>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</si>
  <si>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</si>
  <si>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</si>
  <si>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</si>
  <si>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</si>
  <si>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</si>
  <si>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</si>
  <si>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</si>
  <si>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</si>
  <si>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</si>
  <si>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</si>
  <si>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</si>
  <si>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</si>
  <si>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</si>
  <si>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</si>
  <si>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</si>
  <si>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</si>
  <si>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</si>
  <si>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</si>
  <si>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</si>
  <si>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</si>
  <si>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</si>
  <si>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</si>
  <si>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</si>
  <si>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</si>
  <si>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</si>
  <si>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</si>
  <si>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</si>
  <si>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</si>
  <si>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</si>
  <si>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</si>
  <si>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</si>
  <si>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</si>
  <si>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</si>
  <si>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</si>
  <si>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</si>
  <si>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</si>
  <si>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</si>
  <si>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</si>
  <si>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</si>
  <si>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</si>
  <si>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</si>
  <si>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</si>
  <si>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</si>
  <si>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</si>
  <si>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</si>
  <si>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</si>
  <si>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</si>
  <si>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</si>
  <si>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</si>
  <si>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</si>
  <si>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</si>
  <si>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</si>
  <si>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</si>
  <si>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</si>
  <si>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</si>
  <si>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</si>
  <si>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</si>
  <si>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</si>
  <si>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</si>
  <si>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</si>
  <si>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</si>
  <si>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</si>
  <si>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</si>
  <si>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</si>
  <si>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</si>
  <si>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</si>
  <si>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</si>
  <si>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</si>
  <si>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</si>
  <si>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</si>
  <si>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</si>
  <si>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</si>
  <si>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</si>
  <si>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</si>
  <si>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</si>
  <si>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</si>
  <si>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</si>
  <si>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</si>
  <si>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</si>
  <si>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</si>
  <si>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</si>
  <si>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</si>
  <si>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</si>
  <si>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</si>
  <si>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</si>
  <si>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</si>
  <si>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</si>
  <si>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</si>
  <si>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</si>
  <si>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</si>
  <si>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</si>
  <si>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</si>
  <si>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</si>
  <si>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</si>
  <si>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</si>
  <si>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</si>
  <si>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</si>
  <si>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</si>
  <si>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</si>
  <si>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</si>
  <si>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</si>
  <si>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</si>
  <si>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</si>
  <si>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</si>
  <si>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</si>
  <si>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</si>
  <si>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</si>
  <si>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</si>
  <si>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</si>
  <si>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</si>
  <si>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</si>
  <si>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</si>
  <si>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</si>
  <si>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</si>
  <si>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</si>
  <si>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</si>
  <si>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</si>
  <si>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</si>
  <si>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</si>
  <si>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</si>
  <si>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</si>
  <si>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</si>
  <si>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</si>
  <si>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</si>
  <si>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</si>
  <si>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</si>
  <si>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</si>
  <si>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</si>
  <si>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</si>
  <si>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</si>
  <si>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</si>
  <si>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</si>
  <si>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</si>
  <si>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</si>
  <si>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</si>
  <si>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</si>
  <si>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</si>
  <si>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</si>
  <si>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</si>
  <si>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</si>
  <si>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</si>
  <si>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</si>
  <si>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</si>
  <si>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</si>
  <si>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</si>
  <si>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</si>
  <si>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</si>
  <si>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</si>
  <si>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</si>
  <si>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</si>
  <si>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</si>
  <si>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</si>
  <si>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</si>
  <si>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</si>
  <si>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</si>
  <si>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</si>
  <si>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</si>
  <si>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</si>
  <si>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</si>
  <si>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</si>
  <si>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</si>
  <si>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</si>
  <si>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</si>
  <si>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</si>
  <si>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</si>
  <si>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</si>
  <si>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</si>
  <si>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</si>
  <si>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</si>
  <si>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</si>
  <si>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</si>
  <si>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</si>
  <si>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</si>
  <si>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</si>
  <si>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</si>
  <si>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</si>
  <si>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</si>
  <si>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</si>
  <si>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</si>
  <si>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</si>
  <si>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</si>
  <si>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</si>
  <si>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</si>
  <si>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</si>
  <si>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</si>
  <si>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</si>
  <si>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</si>
  <si>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</si>
  <si>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</si>
  <si>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</si>
  <si>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</si>
  <si>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</si>
  <si>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</si>
  <si>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</si>
  <si>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</si>
  <si>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</si>
  <si>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</si>
  <si>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</si>
  <si>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</si>
  <si>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</si>
  <si>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</si>
  <si>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</si>
  <si>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</si>
  <si>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</si>
  <si>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</si>
  <si>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</si>
  <si>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</si>
  <si>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</si>
  <si>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</si>
  <si>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</si>
  <si>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</si>
  <si>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</si>
  <si>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</si>
  <si>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</si>
  <si>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</si>
  <si>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</si>
  <si>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</si>
  <si>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</si>
  <si>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</si>
  <si>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</si>
  <si>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</si>
  <si>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</si>
  <si>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</si>
  <si>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</si>
  <si>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</si>
  <si>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</si>
  <si>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</si>
  <si>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</si>
  <si>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</si>
  <si>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</si>
  <si>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</si>
  <si>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</si>
  <si>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</si>
  <si>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</si>
  <si>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</si>
  <si>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</si>
  <si>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</si>
  <si>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</si>
  <si>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</si>
  <si>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</si>
  <si>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</si>
  <si>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</si>
  <si>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</si>
  <si>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</si>
  <si>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</si>
  <si>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</si>
  <si>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</si>
  <si>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</si>
  <si>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</si>
  <si>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</si>
  <si>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</si>
  <si>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</si>
  <si>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</si>
  <si>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</si>
  <si>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</si>
  <si>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</si>
  <si>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</si>
  <si>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</si>
  <si>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</si>
  <si>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</si>
  <si>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</si>
  <si>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</si>
  <si>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</si>
  <si>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</si>
  <si>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</si>
  <si>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</si>
  <si>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</si>
  <si>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</si>
  <si>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</si>
  <si>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</si>
  <si>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</si>
  <si>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</si>
  <si>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</si>
  <si>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</si>
  <si>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</si>
  <si>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</si>
  <si>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</si>
  <si>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</si>
  <si>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</si>
  <si>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</si>
  <si>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</si>
  <si>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</si>
  <si>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</si>
  <si>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</si>
  <si>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</si>
  <si>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</si>
  <si>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</si>
  <si>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</si>
  <si>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</si>
  <si>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</si>
  <si>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</si>
  <si>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</si>
  <si>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</si>
  <si>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</si>
  <si>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</si>
  <si>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</si>
  <si>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</si>
  <si>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</si>
  <si>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</si>
  <si>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</si>
  <si>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</si>
  <si>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</si>
  <si>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</si>
  <si>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</si>
  <si>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</si>
  <si>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</si>
  <si>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</si>
  <si>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</si>
  <si>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</si>
  <si>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</si>
  <si>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</si>
  <si>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</si>
  <si>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</si>
  <si>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</si>
  <si>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</si>
  <si>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</si>
  <si>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</si>
  <si>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</si>
  <si>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</si>
  <si>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</si>
  <si>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</si>
  <si>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</si>
  <si>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</si>
  <si>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</si>
  <si>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</si>
  <si>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</si>
  <si>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</si>
  <si>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</si>
  <si>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</si>
  <si>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</si>
  <si>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</si>
  <si>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</si>
  <si>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</si>
  <si>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</si>
  <si>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</si>
  <si>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</si>
  <si>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</si>
  <si>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</si>
  <si>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</si>
  <si>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</si>
  <si>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</si>
  <si>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</si>
  <si>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</si>
  <si>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</si>
  <si>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</si>
  <si>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</si>
  <si>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</si>
  <si>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</si>
  <si>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</si>
  <si>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</si>
  <si>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</si>
  <si>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</si>
  <si>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</si>
  <si>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</si>
  <si>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</si>
  <si>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</si>
  <si>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</si>
  <si>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</si>
  <si>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</si>
  <si>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</si>
  <si>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</si>
  <si>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</si>
  <si>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</si>
  <si>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</si>
  <si>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</si>
  <si>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</si>
  <si>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</si>
  <si>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</si>
  <si>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</si>
  <si>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</si>
  <si>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</si>
  <si>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</si>
  <si>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</si>
  <si>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</si>
  <si>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</si>
  <si>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</si>
  <si>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</si>
  <si>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</si>
  <si>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</si>
  <si>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</si>
  <si>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</si>
  <si>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</si>
  <si>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</si>
  <si>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</si>
  <si>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</si>
  <si>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</si>
  <si>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</si>
  <si>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</si>
  <si>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</si>
  <si>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</si>
  <si>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</si>
  <si>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</si>
  <si>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</si>
  <si>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</si>
  <si>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</si>
  <si>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</si>
  <si>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</si>
  <si>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</si>
  <si>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</si>
  <si>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</si>
  <si>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</si>
  <si>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</si>
  <si>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</si>
  <si>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</si>
  <si>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</si>
  <si>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</si>
  <si>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</si>
  <si>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</si>
  <si>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</si>
  <si>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</si>
  <si>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</si>
  <si>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</si>
  <si>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</si>
  <si>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</si>
  <si>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</si>
  <si>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</si>
  <si>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</si>
  <si>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</si>
  <si>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</si>
  <si>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</si>
  <si>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</si>
  <si>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</si>
  <si>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</si>
  <si>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</si>
  <si>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</si>
  <si>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</si>
  <si>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</si>
  <si>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</si>
  <si>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</si>
  <si>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</si>
  <si>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</si>
  <si>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</si>
  <si>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</si>
  <si>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</si>
  <si>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</si>
  <si>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</si>
  <si>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</si>
  <si>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</si>
  <si>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</si>
  <si>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</si>
  <si>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</si>
  <si>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</si>
  <si>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</si>
  <si>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</si>
  <si>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</si>
  <si>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</si>
  <si>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</si>
  <si>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</si>
  <si>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</si>
  <si>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</si>
  <si>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</si>
  <si>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</si>
  <si>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</si>
  <si>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</si>
  <si>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</si>
  <si>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</si>
  <si>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</si>
  <si>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</si>
  <si>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</si>
  <si>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</si>
  <si>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</si>
  <si>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</si>
  <si>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</si>
  <si>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</si>
  <si>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</si>
  <si>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</si>
  <si>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</si>
  <si>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</si>
  <si>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</si>
  <si>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</si>
  <si>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</si>
  <si>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</si>
  <si>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</si>
  <si>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</si>
  <si>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</si>
  <si>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</si>
  <si>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</si>
  <si>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</si>
  <si>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</si>
  <si>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</si>
  <si>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</si>
  <si>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</si>
  <si>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</si>
  <si>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</si>
  <si>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</si>
  <si>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</si>
  <si>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</si>
  <si>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</si>
  <si>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</si>
  <si>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</si>
  <si>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</si>
  <si>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</si>
  <si>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</si>
  <si>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</si>
  <si>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</si>
  <si>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</si>
  <si>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</si>
  <si>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</si>
  <si>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</si>
  <si>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</si>
  <si>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</si>
  <si>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</si>
  <si>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</si>
  <si>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</si>
  <si>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</si>
  <si>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</si>
  <si>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</si>
  <si>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</si>
  <si>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</si>
  <si>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</si>
  <si>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</si>
  <si>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</si>
  <si>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</si>
  <si>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</si>
  <si>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</si>
  <si>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</si>
  <si>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</si>
  <si>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</si>
  <si>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</si>
  <si>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</si>
  <si>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</si>
  <si>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</si>
  <si>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</si>
  <si>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</si>
  <si>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</si>
  <si>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</si>
  <si>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</si>
  <si>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</si>
  <si>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</si>
  <si>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</si>
  <si>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</si>
  <si>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</si>
  <si>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</si>
  <si>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</si>
  <si>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</si>
  <si>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</si>
  <si>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</si>
  <si>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</si>
  <si>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</si>
  <si>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</si>
  <si>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</si>
  <si>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</si>
  <si>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</si>
  <si>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</si>
  <si>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</si>
  <si>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</si>
  <si>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</si>
  <si>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</si>
  <si>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</si>
  <si>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</si>
  <si>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</si>
  <si>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</si>
  <si>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</si>
  <si>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</si>
  <si>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</si>
  <si>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</si>
  <si>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</si>
  <si>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</si>
  <si>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</si>
  <si>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</si>
  <si>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</si>
  <si>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</si>
  <si>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</si>
  <si>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</si>
  <si>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</si>
  <si>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</si>
  <si>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</si>
  <si>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</si>
  <si>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</si>
  <si>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</si>
  <si>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</si>
  <si>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</si>
  <si>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</si>
  <si>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</si>
  <si>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</si>
  <si>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</si>
  <si>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</si>
  <si>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</si>
  <si>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</si>
  <si>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</si>
  <si>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</si>
  <si>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</si>
  <si>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</si>
  <si>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</si>
  <si>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</si>
  <si>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</si>
  <si>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</si>
  <si>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</si>
  <si>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</si>
  <si>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</si>
  <si>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</si>
  <si>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</si>
  <si>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</si>
  <si>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</si>
  <si>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</si>
  <si>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</si>
  <si>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</si>
  <si>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</si>
  <si>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</si>
  <si>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</si>
  <si>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</si>
  <si>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</si>
  <si>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</si>
  <si>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</si>
  <si>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</si>
  <si>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</si>
  <si>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</si>
  <si>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</si>
  <si>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</si>
  <si>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</si>
  <si>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</si>
  <si>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</si>
  <si>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</si>
  <si>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</si>
  <si>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</si>
  <si>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</si>
  <si>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</si>
  <si>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</si>
  <si>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</si>
  <si>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</si>
  <si>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</si>
  <si>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</si>
  <si>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</si>
  <si>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</si>
  <si>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</si>
  <si>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</si>
  <si>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</si>
  <si>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</si>
  <si>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</si>
  <si>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</si>
  <si>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</si>
  <si>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</si>
  <si>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</si>
  <si>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</si>
  <si>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</si>
  <si>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</si>
  <si>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</si>
  <si>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</si>
  <si>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</si>
  <si>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</si>
  <si>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</si>
  <si>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</si>
  <si>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</si>
  <si>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</si>
  <si>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</si>
  <si>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</si>
  <si>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</si>
  <si>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</si>
  <si>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</si>
  <si>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</si>
  <si>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</si>
  <si>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</si>
  <si>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</si>
  <si>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</si>
  <si>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</si>
  <si>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</si>
  <si>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</si>
  <si>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</si>
  <si>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</si>
  <si>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</si>
  <si>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</si>
  <si>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</si>
  <si>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</si>
  <si>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</si>
  <si>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</si>
  <si>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</si>
  <si>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</si>
  <si>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</si>
  <si>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</si>
  <si>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</si>
  <si>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</si>
  <si>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</si>
  <si>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</si>
  <si>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</si>
  <si>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</si>
  <si>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</si>
  <si>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</si>
  <si>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</si>
  <si>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</si>
  <si>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</si>
  <si>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</si>
  <si>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</si>
  <si>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</si>
  <si>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</si>
  <si>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</si>
  <si>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</si>
  <si>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</si>
  <si>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</si>
  <si>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</si>
  <si>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</si>
  <si>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</si>
  <si>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</si>
  <si>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</si>
  <si>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</si>
  <si>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</si>
  <si>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</si>
  <si>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</si>
  <si>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</si>
  <si>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</si>
  <si>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</si>
  <si>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</si>
  <si>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</si>
  <si>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</si>
  <si>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</si>
  <si>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</si>
  <si>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</si>
  <si>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</si>
  <si>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</si>
  <si>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</si>
  <si>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</si>
  <si>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</si>
  <si>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</si>
  <si>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</si>
  <si>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</si>
  <si>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</si>
  <si>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</si>
  <si>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</si>
  <si>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</si>
  <si>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</si>
  <si>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</si>
  <si>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</si>
  <si>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</si>
  <si>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</si>
  <si>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</si>
  <si>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</si>
  <si>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</si>
  <si>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</si>
  <si>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</si>
  <si>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</si>
  <si>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</si>
  <si>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</si>
  <si>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</si>
  <si>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</si>
  <si>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</si>
  <si>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</si>
  <si>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</si>
  <si>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</si>
  <si>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</si>
  <si>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</si>
  <si>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</si>
  <si>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</si>
  <si>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</si>
  <si>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</si>
  <si>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</si>
  <si>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</si>
  <si>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</si>
  <si>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</si>
  <si>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</si>
  <si>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</si>
  <si>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</si>
  <si>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</si>
  <si>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</si>
  <si>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</si>
  <si>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</si>
  <si>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</si>
  <si>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</si>
  <si>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</si>
  <si>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</si>
  <si>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</si>
  <si>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</si>
  <si>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</si>
  <si>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</si>
  <si>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</si>
  <si>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</si>
  <si>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</si>
  <si>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</si>
  <si>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</si>
  <si>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</si>
  <si>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</si>
  <si>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</si>
  <si>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</si>
  <si>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</si>
  <si>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</si>
  <si>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</si>
  <si>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</si>
  <si>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</si>
  <si>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</si>
  <si>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</si>
  <si>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</si>
  <si>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</si>
  <si>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</si>
  <si>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</si>
  <si>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</si>
  <si>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</si>
  <si>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</si>
  <si>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</si>
  <si>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</si>
  <si>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</si>
  <si>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</si>
  <si>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</si>
  <si>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</si>
  <si>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</si>
  <si>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</si>
  <si>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</si>
  <si>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</si>
  <si>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</si>
  <si>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</si>
  <si>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</si>
  <si>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</si>
  <si>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</si>
  <si>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</si>
  <si>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</si>
  <si>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</si>
  <si>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</si>
  <si>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</si>
  <si>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</si>
  <si>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</si>
  <si>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</si>
  <si>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</si>
  <si>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</si>
  <si>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</si>
  <si>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</si>
  <si>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</si>
  <si>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</si>
  <si>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</si>
  <si>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</si>
  <si>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</si>
  <si>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</si>
  <si>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</si>
  <si>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</si>
  <si>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</si>
  <si>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</si>
  <si>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</si>
  <si>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</si>
  <si>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</si>
  <si>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</si>
  <si>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</si>
  <si>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</si>
  <si>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</si>
  <si>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</si>
  <si>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</si>
  <si>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</si>
  <si>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</si>
  <si>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</si>
  <si>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</si>
  <si>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</si>
  <si>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</si>
  <si>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</si>
  <si>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</si>
  <si>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</si>
  <si>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</si>
  <si>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</si>
  <si>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</si>
  <si>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</si>
  <si>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</si>
  <si>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</si>
  <si>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</si>
  <si>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</si>
  <si>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</si>
  <si>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</si>
  <si>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</si>
  <si>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</si>
  <si>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</si>
  <si>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</si>
  <si>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</si>
  <si>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</si>
  <si>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</si>
  <si>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</si>
  <si>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</si>
  <si>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</si>
  <si>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</si>
  <si>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</si>
  <si>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</si>
  <si>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</si>
  <si>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</si>
  <si>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</si>
  <si>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</si>
  <si>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</si>
  <si>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</si>
  <si>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</si>
  <si>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</si>
  <si>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</si>
  <si>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</si>
  <si>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</si>
  <si>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</si>
  <si>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</si>
  <si>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</si>
  <si>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</si>
  <si>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</si>
  <si>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</si>
  <si>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</si>
  <si>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</si>
  <si>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</si>
  <si>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</si>
  <si>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</si>
  <si>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</si>
  <si>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</si>
  <si>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</si>
  <si>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</si>
  <si>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</si>
  <si>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</si>
  <si>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</si>
  <si>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</si>
  <si>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</si>
  <si>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</si>
  <si>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</si>
  <si>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</si>
  <si>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</si>
  <si>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</si>
  <si>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</si>
  <si>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</si>
  <si>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</si>
  <si>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</si>
  <si>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</si>
  <si>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</si>
  <si>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</si>
  <si>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</si>
  <si>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</si>
  <si>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</si>
  <si>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</si>
  <si>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</si>
  <si>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</si>
  <si>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</si>
  <si>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</si>
  <si>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</si>
  <si>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</si>
  <si>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</si>
  <si>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</si>
  <si>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</si>
  <si>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</si>
  <si>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</si>
  <si>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</si>
  <si>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</si>
  <si>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</si>
  <si>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</si>
  <si>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</si>
  <si>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</si>
  <si>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</si>
  <si>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</si>
  <si>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</si>
  <si>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</si>
  <si>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</si>
  <si>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</si>
  <si>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</si>
  <si>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</si>
  <si>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</si>
  <si>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</si>
  <si>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</si>
  <si>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</si>
  <si>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</si>
  <si>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</si>
  <si>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</si>
  <si>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</si>
  <si>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</si>
  <si>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</si>
  <si>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</si>
  <si>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</si>
  <si>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</si>
  <si>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</si>
  <si>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</si>
  <si>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</si>
  <si>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</si>
  <si>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</si>
  <si>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</si>
  <si>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</si>
  <si>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</si>
  <si>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</si>
  <si>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</si>
  <si>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</si>
  <si>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</si>
  <si>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</si>
  <si>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</si>
  <si>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</si>
  <si>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</si>
  <si>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</si>
  <si>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</si>
  <si>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</si>
  <si>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</si>
  <si>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</si>
  <si>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</si>
  <si>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</si>
  <si>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</si>
  <si>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</si>
  <si>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</si>
  <si>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</si>
  <si>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</si>
  <si>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</si>
  <si>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</si>
  <si>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</si>
  <si>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</si>
  <si>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</si>
  <si>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</si>
  <si>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</si>
  <si>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</si>
  <si>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</si>
  <si>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</si>
  <si>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</si>
  <si>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</si>
  <si>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</si>
  <si>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</si>
  <si>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</si>
  <si>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</si>
  <si>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</si>
  <si>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</si>
  <si>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</si>
  <si>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</si>
  <si>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</si>
  <si>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</si>
  <si>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</si>
  <si>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</si>
  <si>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</si>
  <si>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</si>
  <si>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</si>
  <si>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</si>
  <si>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</si>
  <si>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</si>
  <si>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</si>
  <si>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</si>
  <si>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</si>
  <si>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</si>
  <si>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</si>
  <si>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</si>
  <si>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</si>
  <si>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</si>
  <si>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</si>
  <si>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</si>
  <si>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</si>
  <si>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</si>
  <si>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</si>
  <si>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</si>
  <si>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</si>
  <si>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</si>
  <si>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</si>
  <si>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</si>
  <si>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</si>
  <si>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</si>
  <si>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</si>
  <si>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</si>
  <si>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</si>
  <si>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</si>
  <si>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</si>
  <si>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</si>
  <si>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</si>
  <si>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</si>
  <si>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</si>
  <si>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</si>
  <si>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</si>
  <si>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</si>
  <si>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</si>
  <si>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</si>
  <si>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</si>
  <si>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</si>
  <si>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</si>
  <si>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</si>
  <si>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</si>
  <si>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</si>
  <si>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</si>
  <si>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</si>
  <si>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</si>
  <si>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</si>
  <si>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</si>
  <si>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</si>
  <si>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</si>
  <si>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</si>
  <si>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</si>
  <si>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</si>
  <si>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</si>
  <si>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</si>
  <si>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</si>
  <si>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</si>
  <si>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</si>
  <si>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</si>
  <si>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</si>
  <si>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</si>
  <si>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</si>
  <si>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</si>
  <si>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</si>
  <si>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</si>
  <si>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</si>
  <si>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</si>
  <si>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</si>
  <si>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</si>
  <si>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</si>
  <si>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</si>
  <si>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</si>
  <si>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</si>
  <si>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</si>
  <si>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</si>
  <si>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</si>
  <si>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</si>
  <si>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</si>
  <si>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</si>
  <si>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</si>
  <si>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</si>
  <si>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</si>
  <si>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</si>
  <si>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</si>
  <si>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</si>
  <si>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</si>
  <si>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</si>
  <si>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</si>
  <si>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</si>
  <si>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</si>
  <si>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</si>
  <si>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</si>
  <si>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</si>
  <si>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</si>
  <si>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</si>
  <si>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</si>
  <si>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</si>
  <si>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</si>
  <si>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</si>
  <si>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</si>
  <si>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</si>
  <si>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</si>
  <si>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</si>
  <si>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</si>
  <si>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</si>
  <si>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</si>
  <si>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</si>
  <si>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</si>
  <si>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</si>
  <si>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</si>
  <si>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</si>
  <si>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</si>
  <si>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</si>
  <si>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</si>
  <si>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</si>
  <si>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</si>
  <si>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</si>
  <si>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</si>
  <si>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</si>
  <si>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</si>
  <si>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</si>
  <si>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</si>
  <si>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</si>
  <si>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</si>
  <si>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</si>
  <si>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</si>
  <si>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</si>
  <si>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</si>
  <si>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</si>
  <si>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</si>
  <si>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</si>
  <si>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</si>
  <si>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</si>
  <si>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</si>
  <si>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</si>
  <si>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</si>
  <si>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</si>
  <si>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</si>
  <si>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</si>
  <si>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</si>
  <si>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</si>
  <si>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</si>
  <si>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</si>
  <si>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</si>
  <si>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</si>
  <si>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</si>
  <si>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</si>
  <si>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</si>
  <si>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</si>
  <si>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</si>
  <si>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</si>
  <si>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</si>
  <si>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</si>
  <si>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</si>
  <si>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</si>
  <si>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</si>
  <si>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</si>
  <si>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</si>
  <si>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</si>
  <si>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</si>
  <si>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</si>
  <si>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</si>
  <si>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</si>
  <si>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</si>
  <si>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</si>
  <si>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</si>
  <si>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</si>
  <si>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</si>
  <si>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</si>
  <si>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</si>
  <si>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</si>
  <si>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</si>
  <si>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</si>
  <si>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</si>
  <si>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</si>
  <si>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</si>
  <si>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</si>
  <si>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</si>
  <si>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</si>
  <si>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</si>
  <si>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</si>
  <si>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</si>
  <si>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</si>
  <si>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</si>
  <si>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</si>
  <si>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</si>
  <si>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</si>
  <si>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</si>
  <si>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</si>
  <si>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</si>
  <si>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</si>
  <si>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</si>
  <si>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</si>
  <si>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</si>
  <si>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</si>
  <si>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</si>
  <si>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</si>
  <si>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</si>
  <si>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</si>
  <si>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</si>
  <si>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</si>
  <si>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</si>
  <si>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</si>
  <si>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</si>
  <si>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</si>
  <si>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</si>
  <si>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</si>
  <si>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</si>
  <si>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</si>
  <si>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</si>
  <si>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</si>
  <si>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</si>
  <si>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</si>
  <si>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</si>
  <si>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</si>
  <si>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</si>
  <si>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</si>
  <si>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</si>
  <si>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</si>
  <si>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</si>
  <si>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</si>
  <si>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</si>
  <si>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</si>
  <si>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</si>
  <si>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</si>
  <si>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</si>
  <si>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</si>
  <si>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</si>
  <si>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</si>
  <si>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</si>
  <si>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</si>
  <si>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</si>
  <si>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</si>
  <si>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</si>
  <si>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</si>
  <si>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</si>
  <si>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</si>
  <si>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</si>
  <si>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</si>
  <si>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</si>
  <si>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</si>
  <si>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</si>
  <si>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</si>
  <si>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</si>
  <si>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</si>
  <si>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</si>
  <si>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</si>
  <si>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</si>
  <si>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</si>
  <si>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</si>
  <si>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</si>
  <si>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</si>
  <si>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</si>
  <si>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</si>
  <si>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</si>
  <si>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</si>
  <si>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</si>
  <si>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</si>
  <si>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</si>
  <si>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</si>
  <si>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</si>
  <si>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</si>
  <si>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</si>
  <si>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</si>
  <si>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</si>
  <si>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</si>
  <si>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</si>
  <si>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</si>
  <si>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</si>
  <si>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</si>
  <si>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</si>
  <si>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</si>
  <si>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</si>
  <si>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</si>
  <si>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</si>
  <si>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</si>
  <si>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</si>
  <si>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</si>
  <si>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</si>
  <si>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</si>
  <si>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</si>
  <si>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</si>
  <si>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</si>
  <si>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</si>
  <si>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</si>
  <si>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</si>
  <si>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</si>
  <si>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</si>
  <si>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</si>
  <si>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</si>
  <si>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</si>
  <si>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</si>
  <si>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</si>
  <si>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</si>
  <si>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</si>
  <si>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</si>
  <si>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</si>
  <si>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</si>
  <si>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</si>
  <si>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</si>
  <si>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</si>
  <si>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</si>
  <si>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</si>
  <si>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</si>
  <si>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</si>
  <si>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</si>
  <si>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</si>
  <si>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</si>
  <si>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</si>
  <si>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</si>
  <si>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</si>
  <si>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</si>
  <si>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</si>
  <si>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</si>
  <si>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</si>
  <si>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</si>
  <si>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</si>
  <si>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</si>
  <si>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</si>
  <si>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</si>
  <si>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</si>
  <si>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</si>
  <si>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</si>
  <si>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</si>
  <si>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</si>
  <si>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</si>
  <si>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</si>
  <si>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</si>
  <si>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</si>
  <si>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</si>
  <si>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</si>
  <si>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</si>
  <si>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</si>
  <si>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</si>
  <si>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</si>
  <si>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</si>
  <si>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</si>
  <si>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</si>
  <si>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</si>
  <si>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</si>
  <si>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</si>
  <si>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</si>
  <si>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</si>
  <si>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</si>
  <si>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</si>
  <si>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</si>
  <si>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</si>
  <si>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</si>
  <si>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</si>
  <si>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</si>
  <si>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</si>
  <si>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</si>
  <si>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</si>
  <si>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</si>
  <si>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</si>
  <si>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</si>
  <si>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</si>
  <si>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</si>
  <si>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</si>
  <si>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</si>
  <si>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</si>
  <si>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</si>
  <si>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</si>
  <si>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</si>
  <si>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</si>
  <si>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</si>
  <si>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</si>
  <si>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</si>
  <si>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</si>
  <si>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</si>
  <si>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</si>
  <si>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</si>
  <si>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</si>
  <si>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</si>
  <si>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</si>
  <si>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</si>
  <si>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</si>
  <si>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</si>
  <si>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</si>
  <si>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</si>
  <si>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</si>
  <si>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</si>
  <si>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</si>
  <si>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</si>
  <si>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</si>
  <si>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</si>
  <si>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</si>
  <si>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</si>
  <si>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</si>
  <si>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</si>
  <si>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</si>
  <si>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</si>
  <si>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</si>
  <si>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</si>
  <si>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</si>
  <si>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</si>
  <si>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</si>
  <si>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</si>
  <si>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</si>
  <si>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</si>
  <si>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</si>
  <si>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</si>
  <si>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</si>
  <si>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</si>
  <si>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</si>
  <si>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</si>
  <si>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</si>
  <si>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</si>
  <si>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</si>
  <si>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</si>
  <si>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</si>
  <si>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</si>
  <si>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</si>
  <si>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</si>
  <si>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</si>
  <si>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</si>
  <si>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</si>
  <si>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</si>
  <si>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</si>
  <si>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</si>
  <si>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</si>
  <si>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</si>
  <si>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</si>
  <si>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</si>
  <si>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</si>
  <si>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</si>
  <si>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</si>
  <si>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</si>
  <si>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</si>
  <si>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</si>
  <si>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</si>
  <si>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</si>
  <si>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</si>
  <si>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</si>
  <si>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</si>
  <si>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</si>
  <si>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</si>
  <si>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</si>
  <si>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</si>
  <si>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</si>
  <si>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</si>
  <si>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</si>
  <si>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</si>
  <si>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</si>
  <si>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</si>
  <si>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</si>
  <si>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</si>
  <si>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</si>
  <si>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</si>
  <si>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</si>
  <si>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</si>
  <si>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</si>
  <si>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</si>
  <si>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</si>
  <si>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</si>
  <si>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</si>
  <si>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</si>
  <si>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</si>
  <si>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</si>
  <si>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</si>
  <si>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</si>
  <si>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</si>
  <si>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</si>
  <si>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</si>
  <si>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</si>
  <si>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</si>
  <si>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</si>
  <si>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</si>
  <si>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</si>
  <si>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</si>
  <si>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</si>
  <si>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</si>
  <si>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</si>
  <si>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</si>
  <si>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</si>
  <si>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</si>
  <si>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</si>
  <si>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</si>
  <si>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</si>
  <si>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</si>
  <si>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</si>
  <si>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</si>
  <si>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</si>
  <si>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</si>
  <si>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</si>
  <si>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</si>
  <si>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</si>
  <si>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</si>
  <si>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</si>
  <si>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</si>
  <si>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</si>
  <si>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</si>
  <si>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</si>
  <si>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</si>
  <si>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</si>
  <si>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</si>
  <si>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</si>
  <si>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</si>
  <si>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</si>
  <si>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</si>
  <si>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</si>
  <si>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</si>
  <si>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</si>
  <si>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</si>
  <si>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</si>
  <si>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</si>
  <si>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</si>
  <si>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</si>
  <si>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</si>
  <si>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</si>
  <si>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</si>
  <si>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</si>
  <si>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</si>
  <si>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</si>
  <si>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</si>
  <si>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</si>
  <si>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</si>
  <si>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</si>
  <si>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</si>
  <si>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</si>
  <si>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</si>
  <si>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</si>
  <si>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</si>
  <si>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</si>
  <si>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</si>
  <si>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</si>
  <si>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</si>
  <si>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</si>
  <si>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</si>
  <si>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</si>
  <si>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</si>
  <si>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</si>
  <si>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</si>
  <si>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</si>
  <si>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</si>
  <si>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</si>
  <si>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</si>
  <si>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</si>
  <si>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</si>
  <si>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</si>
  <si>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</si>
  <si>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</si>
  <si>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</si>
  <si>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</si>
  <si>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</si>
  <si>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</si>
  <si>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</si>
  <si>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</si>
  <si>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</si>
  <si>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</si>
  <si>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</si>
  <si>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</si>
  <si>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</si>
  <si>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</si>
  <si>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</si>
  <si>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</si>
  <si>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</si>
  <si>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</si>
  <si>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</si>
  <si>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</si>
  <si>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</si>
  <si>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</si>
  <si>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</si>
  <si>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</si>
  <si>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</si>
  <si>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</si>
  <si>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</si>
  <si>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</si>
  <si>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</si>
  <si>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</si>
  <si>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</si>
  <si>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</si>
  <si>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</si>
  <si>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</si>
  <si>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</si>
  <si>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</si>
  <si>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</si>
  <si>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</si>
  <si>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</si>
  <si>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</si>
  <si>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</si>
  <si>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</si>
  <si>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</si>
  <si>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</si>
  <si>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</si>
  <si>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</si>
  <si>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</si>
  <si>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</si>
  <si>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</si>
  <si>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</si>
  <si>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</si>
  <si>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</si>
  <si>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</si>
  <si>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</si>
  <si>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</si>
  <si>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</si>
  <si>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</si>
  <si>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</si>
  <si>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</si>
  <si>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</si>
  <si>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</si>
  <si>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</si>
  <si>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</si>
  <si>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</si>
  <si>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</si>
  <si>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</si>
  <si>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</si>
  <si>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</si>
  <si>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</si>
  <si>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</si>
  <si>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</si>
  <si>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</si>
  <si>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</si>
  <si>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</si>
  <si>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</si>
  <si>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</si>
  <si>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</si>
  <si>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</si>
  <si>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</si>
  <si>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</si>
  <si>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</si>
  <si>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</si>
  <si>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</si>
  <si>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</si>
  <si>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</si>
  <si>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</si>
  <si>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</si>
  <si>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</si>
  <si>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</si>
  <si>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</si>
  <si>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</si>
  <si>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</si>
  <si>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</si>
  <si>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</si>
  <si>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</si>
  <si>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</si>
  <si>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</si>
  <si>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</si>
  <si>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</si>
  <si>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</si>
  <si>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</si>
  <si>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</si>
  <si>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</si>
  <si>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</si>
  <si>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</si>
  <si>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</si>
  <si>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</si>
  <si>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</si>
  <si>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</si>
  <si>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</si>
  <si>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</si>
  <si>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</si>
  <si>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</si>
  <si>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</si>
  <si>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</si>
  <si>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</si>
  <si>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</si>
  <si>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</si>
  <si>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</si>
  <si>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</si>
  <si>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</si>
  <si>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</si>
  <si>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</si>
  <si>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</si>
  <si>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</si>
  <si>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</si>
  <si>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</si>
  <si>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</si>
  <si>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</si>
  <si>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</si>
  <si>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</si>
  <si>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</si>
  <si>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</si>
  <si>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</si>
  <si>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</si>
  <si>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</si>
  <si>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</si>
  <si>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</si>
  <si>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</si>
  <si>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</si>
  <si>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</si>
  <si>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</si>
  <si>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</si>
  <si>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</si>
  <si>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</si>
  <si>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</si>
  <si>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</si>
  <si>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</si>
  <si>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</si>
  <si>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</si>
  <si>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</si>
  <si>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</si>
  <si>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</si>
  <si>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</si>
  <si>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</si>
  <si>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</si>
  <si>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</si>
  <si>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</si>
  <si>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</si>
  <si>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</si>
  <si>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</si>
  <si>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</si>
  <si>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</si>
  <si>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</si>
  <si>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</si>
  <si>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</si>
  <si>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</si>
  <si>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</si>
  <si>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</si>
  <si>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</si>
  <si>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</si>
  <si>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</si>
  <si>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</si>
  <si>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</si>
  <si>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</si>
  <si>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</si>
  <si>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</si>
  <si>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</si>
  <si>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</si>
  <si>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</si>
  <si>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</si>
  <si>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</si>
  <si>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</si>
  <si>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</si>
  <si>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</si>
  <si>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</si>
  <si>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</si>
  <si>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</si>
  <si>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</si>
  <si>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</si>
  <si>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</si>
  <si>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</si>
  <si>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</si>
  <si>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</si>
  <si>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</si>
  <si>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</si>
  <si>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</si>
  <si>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</si>
  <si>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</si>
  <si>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</si>
  <si>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</si>
  <si>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</si>
  <si>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</si>
  <si>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</si>
  <si>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</si>
  <si>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</si>
  <si>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</si>
  <si>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</si>
  <si>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</si>
  <si>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</si>
  <si>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</si>
  <si>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</si>
  <si>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</si>
  <si>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</si>
  <si>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</si>
  <si>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</si>
  <si>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</si>
  <si>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</si>
  <si>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</si>
  <si>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</si>
  <si>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</si>
  <si>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</si>
  <si>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</si>
  <si>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</si>
  <si>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</si>
  <si>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</si>
  <si>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</si>
  <si>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</si>
  <si>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</si>
  <si>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</si>
  <si>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</si>
  <si>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</si>
  <si>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</si>
  <si>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</si>
  <si>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</si>
  <si>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</si>
  <si>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</si>
  <si>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</si>
  <si>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</si>
  <si>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</si>
  <si>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</si>
  <si>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</si>
  <si>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</si>
  <si>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</si>
  <si>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</si>
  <si>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</si>
  <si>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</si>
  <si>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</si>
  <si>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</si>
  <si>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</si>
  <si>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</si>
  <si>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</si>
  <si>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</si>
  <si>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</si>
  <si>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</si>
  <si>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</si>
  <si>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</si>
  <si>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</si>
  <si>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</si>
  <si>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</si>
  <si>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</si>
  <si>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</si>
  <si>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</si>
  <si>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</si>
  <si>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</si>
  <si>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</si>
  <si>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</si>
  <si>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</si>
  <si>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</si>
  <si>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</si>
  <si>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</si>
  <si>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</si>
  <si>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</si>
  <si>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</si>
  <si>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</si>
  <si>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</si>
  <si>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</si>
  <si>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</si>
  <si>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</si>
  <si>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</si>
  <si>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</si>
  <si>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</si>
  <si>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</si>
  <si>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</si>
  <si>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</si>
  <si>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</si>
  <si>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</si>
  <si>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</si>
  <si>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</si>
  <si>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</si>
  <si>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</si>
  <si>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</si>
  <si>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</si>
  <si>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</si>
  <si>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</si>
  <si>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</si>
  <si>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</si>
  <si>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</si>
  <si>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</si>
  <si>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</si>
  <si>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</si>
  <si>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</si>
  <si>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</si>
  <si>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</si>
  <si>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</si>
  <si>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</si>
  <si>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</si>
  <si>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</si>
  <si>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</si>
  <si>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</si>
  <si>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</si>
  <si>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</si>
  <si>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</si>
  <si>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</si>
  <si>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</si>
  <si>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</si>
  <si>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</si>
  <si>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</si>
  <si>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</si>
  <si>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</si>
  <si>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</si>
  <si>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</si>
  <si>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</si>
  <si>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</si>
  <si>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</si>
  <si>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</si>
  <si>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</si>
  <si>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</si>
  <si>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</si>
  <si>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</si>
  <si>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</si>
  <si>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</si>
  <si>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</si>
  <si>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</si>
  <si>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</si>
  <si>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</si>
  <si>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</si>
  <si>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</si>
  <si>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</si>
  <si>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</si>
  <si>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</si>
  <si>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</si>
  <si>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</si>
  <si>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</si>
  <si>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</si>
  <si>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</si>
  <si>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</si>
  <si>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</si>
  <si>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</si>
  <si>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</si>
  <si>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</si>
  <si>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</si>
  <si>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</si>
  <si>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</si>
  <si>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</si>
  <si>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</si>
  <si>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</si>
  <si>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</si>
  <si>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</si>
  <si>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</si>
  <si>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</si>
  <si>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</si>
  <si>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</si>
  <si>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</si>
  <si>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</si>
  <si>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</si>
  <si>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</si>
  <si>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</si>
  <si>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</si>
  <si>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</si>
  <si>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</si>
  <si>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</si>
  <si>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</si>
  <si>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</si>
  <si>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</si>
  <si>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</si>
  <si>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</si>
  <si>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</si>
  <si>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</si>
  <si>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</si>
  <si>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</si>
  <si>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</si>
  <si>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</si>
  <si>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</si>
  <si>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</si>
  <si>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</si>
  <si>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</si>
  <si>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</si>
  <si>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</si>
  <si>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</si>
  <si>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</si>
  <si>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</si>
  <si>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</si>
  <si>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</si>
  <si>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</si>
  <si>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</si>
  <si>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</si>
  <si>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</si>
  <si>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</si>
  <si>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</si>
  <si>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</si>
  <si>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</si>
  <si>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</si>
  <si>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</si>
  <si>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</si>
  <si>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</si>
  <si>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</si>
  <si>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</si>
  <si>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</si>
  <si>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</si>
  <si>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</si>
  <si>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</si>
  <si>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</si>
  <si>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</si>
  <si>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</si>
  <si>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</si>
  <si>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</si>
  <si>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</si>
  <si>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</si>
  <si>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</si>
  <si>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</si>
  <si>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</si>
  <si>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</si>
  <si>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</si>
  <si>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</si>
  <si>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</si>
  <si>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</si>
  <si>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</si>
  <si>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</si>
  <si>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</si>
  <si>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</si>
  <si>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</si>
  <si>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</si>
  <si>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</si>
  <si>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</si>
  <si>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</si>
  <si>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</si>
  <si>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</si>
  <si>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</si>
  <si>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</si>
  <si>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</si>
  <si>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</si>
  <si>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</si>
  <si>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</si>
  <si>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</si>
  <si>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</si>
  <si>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</si>
  <si>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</si>
  <si>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</si>
  <si>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</si>
  <si>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</si>
  <si>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</si>
  <si>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</si>
  <si>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</si>
  <si>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</si>
  <si>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</si>
  <si>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</si>
  <si>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</si>
  <si>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</si>
  <si>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</si>
  <si>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</si>
  <si>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</si>
  <si>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</si>
  <si>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</si>
  <si>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</si>
  <si>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</si>
  <si>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</si>
  <si>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</si>
  <si>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</si>
  <si>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</si>
  <si>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</si>
  <si>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</si>
  <si>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</si>
  <si>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</si>
  <si>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</si>
  <si>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</si>
  <si>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</si>
  <si>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</si>
  <si>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</si>
  <si>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</si>
  <si>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</si>
  <si>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</si>
  <si>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</si>
  <si>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</si>
  <si>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</si>
  <si>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</si>
  <si>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</si>
  <si>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</si>
  <si>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</si>
  <si>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</si>
  <si>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</si>
  <si>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</si>
  <si>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</si>
  <si>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</si>
  <si>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</si>
  <si>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</si>
  <si>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</si>
  <si>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</si>
  <si>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</si>
  <si>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</si>
  <si>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</si>
  <si>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</si>
  <si>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</si>
  <si>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</si>
  <si>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</si>
  <si>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</si>
  <si>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</si>
  <si>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</si>
  <si>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</si>
  <si>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</si>
  <si>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</si>
  <si>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</si>
  <si>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</si>
  <si>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</si>
  <si>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</si>
  <si>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</si>
  <si>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</si>
  <si>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</si>
  <si>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</si>
  <si>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</si>
  <si>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</si>
  <si>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</si>
  <si>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</si>
  <si>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</si>
  <si>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</si>
  <si>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</si>
  <si>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</si>
  <si>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</si>
  <si>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</si>
  <si>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</si>
  <si>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</si>
  <si>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</si>
  <si>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</si>
  <si>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</si>
  <si>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</si>
  <si>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</si>
  <si>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</si>
  <si>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</si>
  <si>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</si>
  <si>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</si>
  <si>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</si>
  <si>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</si>
  <si>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</si>
  <si>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</si>
  <si>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</si>
  <si>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</si>
  <si>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</si>
  <si>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</si>
  <si>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</si>
  <si>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</si>
  <si>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</si>
  <si>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</si>
  <si>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</si>
  <si>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</si>
  <si>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</si>
  <si>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</si>
  <si>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</si>
  <si>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</si>
  <si>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</si>
  <si>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</si>
  <si>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</si>
  <si>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</si>
  <si>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</si>
  <si>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</si>
  <si>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</si>
  <si>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</si>
  <si>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</si>
  <si>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</si>
  <si>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</si>
  <si>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</si>
  <si>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</si>
  <si>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</si>
  <si>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</si>
  <si>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</si>
  <si>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</si>
  <si>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</si>
  <si>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</si>
  <si>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</si>
  <si>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</si>
  <si>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</si>
  <si>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</si>
  <si>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</si>
  <si>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</si>
  <si>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</si>
  <si>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</si>
  <si>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</si>
  <si>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</si>
  <si>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</si>
  <si>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</si>
  <si>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</si>
  <si>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</si>
  <si>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</si>
  <si>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</si>
  <si>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</si>
  <si>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</si>
  <si>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</si>
  <si>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</si>
  <si>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</si>
  <si>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</si>
  <si>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</si>
  <si>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</si>
  <si>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</si>
  <si>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</si>
  <si>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</si>
  <si>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</si>
  <si>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</si>
  <si>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</si>
  <si>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</si>
  <si>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</si>
  <si>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</si>
  <si>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</si>
  <si>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</si>
  <si>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</si>
  <si>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</si>
  <si>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</si>
  <si>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</si>
  <si>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</si>
  <si>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</si>
  <si>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</si>
  <si>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</si>
  <si>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</si>
  <si>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</si>
  <si>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</si>
  <si>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</si>
  <si>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</si>
  <si>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</si>
  <si>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</si>
  <si>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</si>
  <si>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</si>
  <si>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</si>
  <si>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</si>
  <si>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</si>
  <si>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</si>
  <si>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</si>
  <si>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</si>
  <si>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</si>
  <si>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</si>
  <si>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</si>
  <si>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</si>
  <si>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</si>
  <si>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</si>
  <si>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</si>
  <si>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</si>
  <si>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</si>
  <si>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</si>
  <si>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</si>
  <si>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</si>
  <si>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</si>
  <si>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</si>
  <si>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</si>
  <si>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</si>
  <si>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</si>
  <si>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</si>
  <si>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</si>
  <si>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</si>
  <si>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</si>
  <si>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</si>
  <si>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</si>
  <si>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</si>
  <si>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</si>
  <si>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</si>
  <si>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</si>
  <si>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</si>
  <si>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</si>
  <si>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</si>
  <si>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</si>
  <si>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</si>
  <si>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</si>
  <si>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</si>
  <si>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</si>
  <si>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</si>
  <si>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</si>
  <si>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</si>
  <si>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</si>
  <si>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</si>
  <si>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</si>
  <si>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</si>
  <si>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</si>
  <si>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</si>
  <si>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</si>
  <si>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</si>
  <si>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</si>
  <si>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</si>
  <si>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</si>
  <si>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</si>
  <si>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</si>
  <si>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</si>
  <si>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</si>
  <si>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</si>
  <si>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</si>
  <si>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</si>
  <si>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</si>
  <si>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</si>
  <si>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</si>
  <si>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</si>
  <si>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</si>
  <si>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</si>
  <si>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</si>
  <si>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</si>
  <si>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</si>
  <si>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</si>
  <si>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</si>
  <si>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</si>
  <si>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</si>
  <si>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</si>
  <si>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</si>
  <si>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</si>
  <si>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</si>
  <si>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</si>
  <si>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</si>
  <si>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</si>
  <si>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</si>
  <si>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</si>
  <si>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</si>
  <si>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</si>
  <si>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</si>
  <si>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</si>
  <si>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</si>
  <si>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</si>
  <si>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</si>
  <si>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</si>
  <si>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</si>
  <si>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</si>
  <si>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</si>
  <si>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</si>
  <si>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</si>
  <si>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</si>
  <si>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</si>
  <si>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</si>
  <si>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</si>
  <si>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</si>
  <si>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</si>
  <si>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</si>
  <si>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</si>
  <si>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</si>
  <si>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</si>
  <si>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</si>
  <si>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</si>
  <si>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</si>
  <si>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</si>
  <si>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</si>
  <si>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</si>
  <si>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</si>
  <si>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</si>
  <si>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</si>
  <si>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</si>
  <si>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</si>
  <si>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</si>
  <si>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</si>
  <si>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</si>
  <si>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</si>
  <si>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</si>
  <si>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</si>
  <si>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</si>
  <si>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</si>
  <si>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</si>
  <si>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</si>
  <si>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</si>
  <si>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</si>
  <si>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</si>
  <si>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</si>
  <si>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</si>
  <si>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</si>
  <si>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</si>
  <si>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</si>
  <si>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</si>
  <si>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</si>
  <si>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</si>
  <si>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</si>
  <si>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</si>
  <si>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</si>
  <si>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</si>
  <si>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</si>
  <si>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</si>
  <si>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</si>
  <si>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</si>
  <si>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</si>
  <si>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</si>
  <si>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</si>
  <si>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</si>
  <si>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</si>
  <si>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</si>
  <si>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</si>
  <si>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</si>
  <si>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</si>
  <si>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</si>
  <si>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</si>
  <si>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</si>
  <si>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</si>
  <si>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</si>
  <si>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</si>
  <si>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</si>
  <si>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</si>
  <si>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</si>
  <si>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</si>
  <si>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</si>
  <si>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</si>
  <si>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</si>
  <si>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</si>
  <si>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</si>
  <si>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</si>
  <si>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</si>
  <si>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</si>
  <si>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</si>
  <si>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</si>
  <si>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</si>
  <si>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</si>
  <si>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</si>
  <si>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</si>
  <si>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</si>
  <si>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</si>
  <si>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</si>
  <si>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</si>
  <si>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</si>
  <si>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</si>
  <si>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</si>
  <si>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</si>
  <si>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</si>
  <si>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</si>
  <si>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</si>
  <si>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</si>
  <si>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</si>
  <si>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</si>
  <si>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</si>
  <si>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</si>
  <si>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</si>
  <si>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</si>
  <si>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</si>
  <si>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</si>
  <si>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</si>
  <si>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</si>
  <si>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</si>
  <si>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</si>
  <si>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</si>
  <si>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</si>
  <si>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</si>
  <si>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</si>
  <si>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</si>
  <si>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</si>
  <si>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</si>
  <si>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</si>
  <si>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</si>
  <si>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</si>
  <si>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</si>
  <si>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</si>
  <si>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</si>
  <si>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</si>
  <si>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</si>
  <si>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</si>
  <si>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</si>
  <si>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</si>
  <si>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</si>
  <si>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</si>
  <si>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</si>
  <si>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</si>
  <si>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</si>
  <si>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</si>
  <si>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</si>
  <si>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</si>
  <si>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</si>
  <si>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</si>
  <si>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</si>
  <si>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</si>
  <si>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</si>
  <si>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</si>
  <si>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</si>
  <si>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</si>
  <si>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</si>
  <si>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</si>
  <si>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</si>
  <si>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</si>
  <si>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</si>
  <si>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</si>
  <si>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</si>
  <si>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</si>
  <si>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</si>
  <si>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</si>
  <si>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</si>
  <si>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</si>
  <si>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</si>
  <si>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</si>
  <si>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</si>
  <si>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</si>
  <si>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</si>
  <si>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</si>
  <si>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</si>
  <si>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</si>
  <si>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</si>
  <si>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</si>
  <si>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</si>
  <si>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</si>
  <si>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</si>
  <si>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</si>
  <si>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</si>
  <si>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</si>
  <si>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</si>
  <si>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</si>
  <si>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</si>
  <si>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</si>
  <si>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</si>
  <si>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</si>
  <si>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</si>
  <si>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</si>
  <si>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</si>
  <si>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</si>
  <si>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</si>
  <si>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</si>
  <si>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</si>
  <si>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</si>
  <si>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</si>
  <si>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</si>
  <si>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</si>
  <si>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</si>
  <si>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</si>
  <si>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</si>
  <si>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</si>
  <si>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</si>
  <si>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</si>
  <si>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</si>
  <si>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</si>
  <si>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</si>
  <si>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</si>
  <si>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</si>
  <si>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</si>
  <si>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</si>
  <si>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</si>
  <si>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</si>
  <si>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</si>
  <si>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</si>
  <si>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</si>
  <si>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</si>
  <si>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</si>
  <si>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</si>
  <si>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</si>
  <si>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</si>
  <si>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</si>
  <si>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</si>
  <si>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</si>
  <si>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</si>
  <si>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</si>
  <si>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</si>
  <si>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</si>
  <si>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</si>
  <si>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</si>
  <si>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</si>
  <si>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</si>
  <si>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</si>
  <si>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</si>
  <si>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</si>
  <si>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</si>
  <si>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</si>
  <si>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</si>
  <si>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</si>
  <si>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</si>
  <si>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</si>
  <si>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</si>
  <si>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</si>
  <si>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</si>
  <si>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</si>
  <si>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</si>
  <si>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</si>
  <si>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</si>
  <si>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</si>
  <si>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</si>
  <si>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</si>
  <si>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</si>
  <si>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</si>
  <si>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</si>
  <si>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</si>
  <si>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</si>
  <si>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</si>
  <si>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</si>
  <si>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</si>
  <si>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</si>
  <si>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</si>
  <si>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</si>
  <si>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</si>
  <si>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</si>
  <si>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</si>
  <si>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</si>
  <si>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</si>
  <si>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</si>
  <si>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</si>
  <si>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</si>
  <si>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</si>
  <si>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</si>
  <si>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</si>
  <si>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</si>
  <si>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</si>
  <si>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</si>
  <si>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</si>
  <si>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</si>
  <si>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</si>
  <si>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</si>
  <si>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</si>
  <si>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</si>
  <si>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</si>
  <si>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</si>
  <si>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</si>
  <si>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</si>
  <si>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</si>
  <si>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</si>
  <si>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</si>
  <si>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</si>
  <si>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</si>
  <si>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</si>
  <si>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</si>
  <si>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</si>
  <si>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</si>
  <si>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</si>
  <si>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</si>
  <si>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</si>
  <si>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</si>
  <si>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</si>
  <si>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</si>
  <si>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</si>
  <si>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</si>
  <si>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</si>
  <si>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</si>
  <si>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</si>
  <si>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</si>
  <si>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</si>
  <si>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</si>
  <si>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</si>
  <si>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</si>
  <si>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</si>
  <si>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</si>
  <si>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</si>
  <si>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</si>
  <si>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</si>
  <si>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</si>
  <si>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</si>
  <si>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</si>
  <si>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</si>
  <si>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</si>
  <si>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</si>
  <si>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</si>
  <si>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</si>
  <si>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</si>
  <si>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</si>
  <si>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</si>
  <si>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</si>
  <si>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</si>
  <si>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</si>
  <si>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</si>
  <si>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</si>
  <si>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</si>
  <si>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</si>
  <si>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</si>
  <si>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</si>
  <si>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</si>
  <si>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</si>
  <si>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</si>
  <si>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</si>
  <si>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</si>
  <si>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</si>
  <si>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</si>
  <si>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</si>
  <si>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</si>
  <si>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</si>
  <si>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</si>
  <si>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</si>
  <si>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</si>
  <si>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</si>
  <si>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</si>
  <si>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</si>
  <si>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</si>
  <si>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</si>
  <si>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</si>
  <si>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</si>
  <si>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</si>
  <si>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</si>
  <si>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</si>
  <si>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</si>
  <si>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</si>
  <si>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</si>
  <si>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</si>
  <si>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</si>
  <si>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</si>
  <si>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</si>
  <si>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</si>
  <si>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</si>
  <si>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</si>
  <si>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</si>
  <si>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</si>
  <si>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</si>
  <si>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</si>
  <si>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</si>
  <si>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</si>
  <si>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</si>
  <si>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</si>
  <si>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</si>
  <si>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</si>
  <si>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</si>
  <si>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</si>
  <si>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</si>
  <si>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</si>
  <si>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</si>
  <si>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</si>
  <si>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</si>
  <si>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</si>
  <si>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</si>
  <si>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</si>
  <si>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</si>
  <si>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</si>
  <si>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</si>
  <si>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</si>
  <si>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</si>
  <si>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</si>
  <si>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</si>
  <si>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</si>
  <si>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</si>
  <si>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</si>
  <si>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</si>
  <si>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</si>
  <si>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</si>
  <si>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</si>
  <si>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</si>
  <si>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</si>
  <si>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</si>
  <si>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</si>
  <si>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</si>
  <si>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</si>
  <si>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</si>
  <si>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</si>
  <si>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</si>
  <si>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</si>
  <si>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</si>
  <si>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</si>
  <si>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</si>
  <si>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</si>
  <si>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</si>
  <si>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</si>
  <si>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</si>
  <si>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</si>
  <si>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</si>
  <si>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</si>
  <si>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</si>
  <si>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</si>
  <si>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</si>
  <si>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</si>
  <si>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</si>
  <si>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</si>
  <si>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</si>
  <si>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</si>
  <si>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</si>
  <si>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</si>
  <si>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</si>
  <si>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</si>
  <si>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</si>
  <si>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</si>
  <si>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</si>
  <si>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</si>
  <si>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</si>
  <si>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</si>
  <si>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</si>
  <si>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</si>
  <si>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</si>
  <si>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</si>
  <si>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</si>
  <si>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</si>
  <si>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</si>
  <si>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</si>
  <si>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</si>
  <si>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</si>
  <si>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</si>
  <si>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</si>
  <si>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</si>
  <si>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</si>
  <si>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</si>
  <si>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</si>
  <si>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</si>
  <si>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</si>
  <si>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</si>
  <si>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</si>
  <si>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</si>
  <si>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</si>
  <si>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</si>
  <si>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</si>
  <si>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</si>
  <si>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</si>
  <si>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</si>
  <si>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</si>
  <si>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</si>
  <si>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</si>
  <si>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</si>
  <si>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</si>
  <si>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</si>
  <si>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</si>
  <si>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</si>
  <si>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</si>
  <si>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</si>
  <si>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</si>
  <si>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</si>
  <si>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</si>
  <si>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</si>
  <si>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</si>
  <si>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</si>
  <si>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</si>
  <si>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</si>
  <si>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</si>
  <si>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</si>
  <si>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</si>
  <si>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</si>
  <si>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</si>
  <si>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</si>
  <si>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</si>
  <si>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</si>
  <si>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</si>
  <si>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</si>
  <si>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</si>
  <si>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</si>
  <si>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</si>
  <si>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</si>
  <si>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</si>
  <si>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</si>
  <si>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</si>
  <si>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</si>
  <si>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</si>
  <si>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</si>
  <si>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</si>
  <si>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</si>
  <si>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</si>
  <si>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</si>
  <si>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</si>
  <si>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</si>
  <si>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</si>
  <si>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</si>
  <si>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</si>
  <si>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</si>
  <si>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</si>
  <si>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</si>
  <si>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</si>
  <si>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</si>
  <si>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</si>
  <si>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</si>
  <si>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</si>
  <si>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</si>
  <si>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</si>
  <si>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</si>
  <si>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</si>
  <si>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</si>
  <si>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</si>
  <si>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</si>
  <si>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</si>
  <si>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</si>
  <si>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</si>
  <si>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</si>
  <si>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</si>
  <si>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</si>
  <si>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</si>
  <si>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</si>
  <si>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</si>
  <si>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</si>
  <si>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</si>
  <si>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</si>
  <si>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</si>
  <si>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</si>
  <si>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</si>
  <si>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</si>
  <si>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</si>
  <si>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</si>
  <si>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</si>
  <si>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</si>
  <si>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</si>
  <si>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</si>
  <si>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</si>
  <si>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</si>
  <si>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</si>
  <si>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</si>
  <si>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</si>
  <si>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</si>
  <si>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</si>
  <si>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</si>
  <si>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</si>
  <si>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</si>
  <si>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</si>
  <si>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</si>
  <si>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</si>
  <si>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</si>
  <si>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</si>
  <si>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</si>
  <si>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</si>
  <si>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</si>
  <si>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</si>
  <si>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</si>
  <si>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</si>
  <si>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</si>
  <si>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</si>
  <si>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</si>
  <si>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</si>
  <si>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</si>
  <si>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</si>
  <si>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</si>
  <si>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</si>
  <si>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</si>
  <si>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</si>
  <si>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</si>
  <si>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</si>
  <si>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</si>
  <si>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</si>
  <si>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</si>
  <si>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</si>
  <si>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</si>
  <si>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</si>
  <si>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</si>
  <si>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</si>
  <si>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</si>
  <si>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</si>
  <si>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</si>
  <si>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</si>
  <si>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</si>
  <si>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</si>
  <si>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</si>
  <si>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</si>
  <si>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</si>
  <si>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</si>
  <si>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</si>
  <si>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</si>
  <si>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</si>
  <si>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</si>
  <si>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</si>
  <si>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</si>
  <si>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</si>
  <si>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</si>
  <si>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</si>
  <si>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</si>
  <si>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</si>
  <si>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</si>
  <si>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</si>
  <si>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</si>
  <si>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</si>
  <si>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</si>
  <si>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</si>
  <si>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</si>
  <si>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</si>
  <si>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</si>
  <si>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</si>
  <si>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</si>
  <si>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</si>
  <si>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</si>
  <si>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</si>
  <si>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</si>
  <si>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</si>
  <si>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</si>
  <si>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</si>
  <si>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</si>
  <si>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</si>
  <si>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</si>
  <si>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</si>
  <si>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</si>
  <si>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</si>
  <si>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</si>
  <si>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</si>
  <si>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</si>
  <si>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</si>
  <si>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</si>
  <si>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</si>
  <si>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</si>
  <si>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</si>
  <si>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</si>
  <si>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</si>
  <si>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</si>
  <si>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</si>
  <si>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</si>
  <si>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</si>
  <si>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</si>
  <si>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</si>
  <si>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</si>
  <si>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</si>
  <si>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</si>
  <si>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</si>
  <si>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</si>
  <si>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</si>
  <si>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</si>
  <si>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</si>
  <si>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</si>
  <si>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</si>
  <si>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</si>
  <si>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</si>
  <si>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</si>
  <si>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</si>
  <si>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</si>
  <si>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</si>
  <si>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</si>
  <si>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</si>
  <si>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</si>
  <si>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</si>
  <si>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</si>
  <si>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</si>
  <si>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</si>
  <si>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</si>
  <si>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</si>
  <si>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</si>
  <si>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</si>
  <si>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</si>
  <si>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</si>
  <si>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</si>
  <si>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</si>
  <si>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</si>
  <si>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</si>
  <si>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</si>
  <si>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</si>
  <si>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</si>
  <si>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</si>
  <si>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</si>
  <si>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</si>
  <si>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</si>
  <si>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</si>
  <si>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</si>
  <si>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</si>
  <si>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</si>
  <si>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</si>
  <si>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</si>
  <si>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</si>
  <si>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</si>
  <si>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</si>
  <si>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</si>
  <si>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</si>
  <si>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</si>
  <si>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</si>
  <si>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</si>
  <si>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</si>
  <si>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</si>
  <si>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</si>
  <si>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</si>
  <si>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</si>
  <si>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</si>
  <si>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</si>
  <si>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</si>
  <si>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</si>
  <si>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</si>
  <si>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</si>
  <si>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</si>
  <si>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</si>
  <si>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</si>
  <si>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</si>
  <si>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</si>
  <si>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</si>
  <si>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</si>
  <si>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</si>
  <si>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</si>
  <si>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</si>
  <si>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</si>
  <si>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</si>
  <si>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</si>
  <si>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</si>
  <si>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</si>
  <si>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</si>
  <si>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</si>
  <si>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</si>
  <si>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</si>
  <si>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</si>
  <si>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</si>
  <si>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</si>
  <si>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</si>
  <si>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</si>
  <si>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</si>
  <si>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</si>
  <si>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</si>
  <si>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</si>
  <si>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</si>
  <si>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</si>
  <si>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</si>
  <si>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</si>
  <si>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</si>
  <si>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</si>
  <si>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</si>
  <si>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</si>
  <si>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</si>
  <si>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</si>
  <si>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</si>
  <si>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</si>
  <si>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</si>
  <si>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</si>
  <si>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</si>
  <si>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</si>
  <si>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</si>
  <si>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</si>
  <si>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</si>
  <si>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</si>
  <si>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</si>
  <si>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</si>
  <si>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</si>
  <si>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</si>
  <si>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</si>
  <si>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</si>
  <si>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</si>
  <si>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</si>
  <si>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</si>
  <si>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</si>
  <si>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</si>
  <si>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</si>
  <si>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</si>
  <si>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</si>
  <si>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</si>
  <si>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</si>
  <si>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</si>
  <si>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</si>
  <si>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</si>
  <si>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</si>
  <si>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</si>
  <si>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</si>
  <si>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</si>
  <si>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</si>
  <si>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</si>
  <si>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</si>
  <si>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</si>
  <si>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</si>
  <si>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</si>
  <si>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</si>
  <si>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</si>
  <si>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</si>
  <si>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</si>
  <si>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</si>
  <si>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</si>
  <si>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</si>
  <si>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</si>
  <si>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</si>
  <si>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</si>
  <si>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</si>
  <si>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</si>
  <si>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</si>
  <si>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</si>
  <si>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</si>
  <si>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</si>
  <si>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</si>
  <si>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</si>
  <si>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</si>
  <si>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</si>
  <si>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</si>
  <si>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</si>
  <si>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</si>
  <si>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</si>
  <si>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</si>
  <si>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</si>
  <si>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</si>
  <si>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</si>
  <si>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</si>
  <si>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</si>
  <si>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</si>
  <si>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</si>
  <si>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</si>
  <si>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</si>
  <si>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</si>
  <si>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</si>
  <si>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</si>
  <si>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</si>
  <si>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</si>
  <si>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</si>
  <si>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</si>
  <si>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</si>
  <si>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</si>
  <si>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</si>
  <si>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</si>
  <si>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</si>
  <si>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</si>
  <si>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</si>
  <si>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</si>
  <si>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</si>
  <si>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</si>
  <si>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</si>
  <si>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</si>
  <si>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</si>
  <si>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</si>
  <si>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</si>
  <si>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</si>
  <si>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</si>
  <si>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</si>
  <si>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</si>
  <si>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</si>
  <si>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</si>
  <si>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</si>
  <si>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</si>
  <si>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</si>
  <si>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</si>
  <si>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</si>
  <si>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</si>
  <si>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</si>
  <si>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</si>
  <si>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</si>
  <si>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</si>
  <si>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</si>
  <si>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</si>
  <si>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</si>
  <si>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</si>
  <si>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</si>
  <si>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</si>
  <si>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</si>
  <si>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</si>
  <si>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</si>
  <si>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</si>
  <si>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</si>
  <si>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</si>
  <si>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</si>
  <si>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</si>
  <si>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</si>
  <si>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</si>
  <si>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</si>
  <si>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</si>
  <si>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</si>
  <si>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</si>
  <si>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</si>
  <si>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</si>
  <si>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</si>
  <si>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</si>
  <si>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</si>
  <si>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</si>
  <si>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</si>
  <si>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</si>
  <si>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</si>
  <si>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</si>
  <si>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</si>
  <si>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</si>
  <si>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</si>
  <si>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</si>
  <si>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</si>
  <si>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</si>
  <si>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</si>
  <si>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</si>
  <si>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</si>
  <si>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</si>
  <si>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</si>
  <si>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</si>
  <si>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</si>
  <si>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</si>
  <si>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</si>
  <si>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</si>
  <si>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</si>
  <si>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</si>
  <si>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</si>
  <si>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</si>
  <si>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</si>
  <si>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</si>
  <si>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</si>
  <si>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</si>
  <si>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</si>
  <si>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</si>
  <si>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</si>
  <si>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</si>
  <si>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</si>
  <si>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</si>
  <si>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</si>
  <si>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</si>
  <si>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</si>
  <si>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</si>
  <si>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</si>
  <si>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</si>
  <si>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</si>
  <si>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</si>
  <si>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</si>
  <si>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</si>
  <si>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</si>
  <si>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</si>
  <si>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</si>
  <si>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</si>
  <si>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</si>
  <si>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</si>
  <si>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</si>
  <si>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</si>
  <si>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</si>
  <si>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</si>
  <si>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</si>
  <si>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</si>
  <si>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</si>
  <si>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</si>
  <si>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</si>
  <si>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</si>
  <si>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</si>
  <si>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</si>
  <si>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</si>
  <si>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</si>
  <si>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</si>
  <si>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</si>
  <si>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</si>
  <si>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</si>
  <si>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</si>
  <si>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</si>
  <si>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</si>
  <si>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</si>
  <si>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</si>
  <si>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</si>
  <si>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</si>
  <si>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</si>
  <si>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</si>
  <si>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</si>
  <si>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</si>
  <si>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</si>
  <si>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</si>
  <si>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</si>
  <si>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</si>
  <si>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</si>
  <si>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</si>
  <si>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</si>
  <si>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</si>
  <si>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</si>
  <si>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</si>
  <si>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</si>
  <si>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</si>
  <si>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</si>
  <si>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</si>
  <si>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</si>
  <si>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</si>
  <si>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</si>
  <si>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</si>
  <si>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</si>
  <si>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</si>
  <si>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</si>
  <si>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</si>
  <si>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</si>
  <si>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</si>
  <si>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</si>
  <si>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</si>
  <si>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</si>
  <si>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</si>
  <si>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</si>
  <si>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</si>
  <si>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</si>
  <si>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</si>
  <si>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</si>
  <si>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</si>
  <si>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</si>
  <si>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</si>
  <si>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</si>
  <si>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</si>
  <si>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</si>
  <si>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</si>
  <si>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</si>
  <si>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</si>
  <si>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</si>
  <si>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</si>
  <si>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</si>
  <si>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</si>
  <si>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</si>
  <si>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</si>
  <si>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</si>
  <si>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</si>
  <si>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</si>
  <si>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</si>
  <si>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</si>
  <si>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</si>
  <si>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</si>
  <si>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</si>
  <si>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</si>
  <si>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</si>
  <si>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</si>
  <si>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</si>
  <si>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</si>
  <si>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</si>
  <si>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</si>
  <si>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</si>
  <si>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</si>
  <si>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</si>
  <si>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</si>
  <si>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</si>
  <si>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</si>
  <si>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</si>
  <si>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</si>
  <si>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</si>
  <si>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</si>
  <si>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</si>
  <si>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</si>
  <si>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</si>
  <si>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</si>
  <si>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</si>
  <si>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</si>
  <si>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</si>
  <si>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</si>
  <si>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</si>
  <si>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</si>
  <si>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</si>
  <si>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</si>
  <si>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</si>
  <si>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</si>
  <si>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</si>
  <si>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</si>
  <si>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</si>
  <si>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</si>
  <si>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</si>
  <si>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</si>
  <si>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</si>
  <si>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</si>
  <si>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</si>
  <si>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</si>
  <si>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</si>
  <si>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</si>
  <si>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</si>
  <si>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</si>
  <si>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</si>
  <si>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</si>
  <si>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</si>
  <si>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</si>
  <si>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</si>
  <si>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</si>
  <si>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</si>
  <si>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</si>
  <si>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</si>
  <si>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</si>
  <si>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</si>
  <si>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</si>
  <si>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</si>
  <si>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</si>
  <si>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</si>
  <si>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</si>
  <si>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</si>
  <si>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</si>
  <si>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</si>
  <si>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</si>
  <si>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</si>
  <si>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</si>
  <si>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</si>
  <si>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</si>
  <si>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</si>
  <si>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</si>
  <si>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</si>
  <si>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</si>
  <si>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</si>
  <si>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</si>
  <si>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</si>
  <si>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</si>
  <si>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</si>
  <si>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</si>
  <si>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</si>
  <si>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</si>
  <si>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</si>
  <si>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</si>
  <si>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</si>
  <si>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</si>
  <si>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</si>
  <si>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</si>
  <si>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</si>
  <si>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</si>
  <si>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</si>
  <si>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</si>
  <si>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</si>
  <si>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</si>
  <si>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</si>
  <si>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</si>
  <si>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</si>
  <si>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</si>
  <si>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</si>
  <si>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</si>
  <si>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</si>
  <si>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</si>
  <si>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</si>
  <si>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</si>
  <si>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</si>
  <si>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</si>
  <si>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</si>
  <si>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</si>
  <si>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</si>
  <si>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</si>
  <si>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</si>
  <si>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</si>
  <si>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</si>
  <si>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</si>
  <si>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</si>
  <si>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</si>
  <si>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</si>
  <si>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</si>
  <si>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</si>
  <si>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</si>
  <si>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</si>
  <si>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</si>
  <si>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</si>
  <si>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</si>
  <si>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</si>
  <si>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</si>
  <si>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</si>
  <si>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</si>
  <si>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</si>
  <si>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</si>
  <si>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</si>
  <si>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</si>
  <si>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</si>
  <si>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</si>
  <si>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</si>
  <si>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</si>
  <si>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</si>
  <si>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</si>
  <si>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</si>
  <si>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</si>
  <si>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</si>
  <si>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</si>
  <si>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</si>
  <si>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</si>
  <si>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</si>
  <si>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</si>
  <si>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</si>
  <si>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</si>
  <si>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</si>
  <si>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</si>
  <si>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</si>
  <si>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</si>
  <si>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</si>
  <si>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</si>
  <si>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</si>
  <si>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</si>
  <si>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</si>
  <si>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</si>
  <si>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</si>
  <si>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</si>
  <si>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</si>
  <si>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</si>
  <si>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</si>
  <si>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</si>
  <si>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</si>
  <si>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</si>
  <si>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</si>
  <si>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</si>
  <si>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</si>
  <si>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</si>
  <si>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</si>
  <si>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</si>
  <si>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</si>
  <si>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</si>
  <si>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</si>
  <si>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</si>
  <si>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</si>
  <si>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</si>
  <si>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</si>
  <si>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</si>
  <si>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</si>
  <si>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</si>
  <si>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</si>
  <si>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</si>
  <si>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</si>
  <si>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</si>
  <si>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</si>
  <si>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</si>
  <si>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</si>
  <si>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</si>
  <si>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</si>
  <si>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</si>
  <si>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</si>
  <si>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</si>
  <si>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</si>
  <si>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</si>
  <si>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</si>
  <si>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</si>
  <si>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</si>
  <si>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</si>
  <si>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</si>
  <si>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</si>
  <si>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</si>
  <si>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</si>
  <si>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</si>
  <si>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</si>
  <si>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</si>
  <si>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</si>
  <si>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</si>
  <si>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</si>
  <si>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</si>
  <si>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</si>
  <si>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</si>
  <si>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</si>
  <si>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</si>
  <si>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</si>
  <si>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</si>
  <si>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</si>
  <si>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</si>
  <si>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</si>
  <si>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</si>
  <si>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</si>
  <si>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</si>
  <si>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</si>
  <si>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</si>
  <si>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</si>
  <si>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</si>
  <si>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</si>
  <si>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</si>
  <si>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</si>
  <si>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</si>
  <si>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</si>
  <si>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</si>
  <si>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</si>
  <si>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</si>
  <si>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</si>
  <si>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</si>
  <si>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</si>
  <si>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</si>
  <si>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</si>
  <si>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</si>
  <si>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</si>
  <si>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</si>
  <si>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</si>
  <si>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</si>
  <si>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</si>
  <si>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</si>
  <si>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</si>
  <si>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</si>
  <si>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</si>
  <si>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</si>
  <si>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</si>
  <si>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</si>
  <si>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</si>
  <si>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</si>
  <si>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</si>
  <si>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</si>
  <si>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</si>
  <si>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</si>
  <si>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</si>
  <si>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</si>
  <si>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</si>
  <si>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</si>
  <si>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</si>
  <si>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</si>
  <si>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</si>
  <si>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</si>
  <si>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</si>
  <si>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</si>
  <si>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</si>
  <si>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</si>
  <si>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</si>
  <si>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</si>
  <si>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</si>
  <si>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</si>
  <si>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</si>
  <si>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</si>
  <si>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</si>
  <si>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</si>
  <si>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</si>
  <si>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</si>
  <si>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</si>
  <si>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</si>
  <si>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</si>
  <si>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</si>
  <si>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</si>
  <si>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</si>
  <si>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</si>
  <si>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</si>
  <si>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</si>
  <si>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</si>
  <si>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</si>
  <si>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</si>
  <si>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</si>
  <si>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</si>
  <si>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</si>
  <si>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</si>
  <si>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</si>
  <si>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</si>
  <si>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</si>
  <si>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</si>
  <si>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</si>
  <si>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</si>
  <si>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</si>
  <si>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</si>
  <si>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</si>
  <si>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</si>
  <si>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</si>
  <si>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</si>
  <si>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</si>
  <si>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</si>
  <si>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</si>
  <si>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</si>
  <si>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</si>
  <si>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</si>
  <si>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</si>
  <si>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</si>
  <si>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</si>
  <si>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</si>
  <si>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</si>
  <si>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</si>
  <si>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</si>
  <si>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</si>
  <si>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</si>
  <si>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</si>
  <si>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</si>
  <si>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</si>
  <si>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</si>
  <si>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</si>
  <si>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</si>
  <si>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</si>
  <si>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</si>
  <si>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</si>
  <si>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</si>
  <si>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</si>
  <si>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</si>
  <si>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</si>
  <si>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</si>
  <si>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</si>
  <si>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</si>
  <si>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</si>
  <si>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</si>
  <si>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</si>
  <si>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</si>
  <si>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</si>
  <si>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</si>
  <si>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</si>
  <si>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</si>
  <si>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</si>
  <si>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</si>
  <si>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</si>
  <si>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</si>
  <si>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</si>
  <si>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</si>
  <si>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</si>
  <si>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</si>
  <si>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</si>
  <si>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</si>
  <si>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</si>
  <si>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</si>
  <si>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</si>
  <si>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</si>
  <si>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</si>
  <si>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</si>
  <si>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</si>
  <si>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</si>
  <si>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</si>
  <si>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</si>
  <si>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</si>
  <si>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</si>
  <si>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</si>
  <si>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</si>
  <si>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</si>
  <si>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</si>
  <si>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</si>
  <si>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</si>
  <si>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</si>
  <si>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</si>
  <si>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</si>
  <si>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</si>
  <si>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</si>
  <si>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</si>
  <si>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</si>
  <si>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</si>
  <si>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</si>
  <si>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</si>
  <si>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</si>
  <si>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</si>
  <si>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</si>
  <si>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</si>
  <si>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</si>
  <si>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</si>
  <si>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</si>
  <si>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</si>
  <si>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</si>
  <si>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</si>
  <si>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</si>
  <si>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</si>
  <si>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</si>
  <si>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</si>
  <si>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</si>
  <si>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</si>
  <si>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</si>
  <si>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</si>
  <si>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</si>
  <si>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</si>
  <si>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</si>
  <si>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</si>
  <si>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</si>
  <si>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</si>
  <si>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</si>
  <si>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</si>
  <si>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</si>
  <si>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</si>
  <si>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</si>
  <si>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</si>
  <si>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</si>
  <si>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</si>
  <si>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</si>
  <si>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</si>
  <si>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</si>
  <si>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</si>
  <si>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</si>
  <si>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</si>
  <si>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</si>
  <si>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</si>
  <si>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</si>
  <si>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</si>
  <si>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</si>
  <si>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</si>
  <si>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</si>
  <si>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</si>
  <si>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</si>
  <si>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</si>
  <si>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</si>
  <si>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</si>
  <si>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</si>
  <si>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</si>
  <si>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</si>
  <si>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</si>
  <si>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</si>
  <si>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</si>
  <si>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</si>
  <si>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</si>
  <si>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</si>
  <si>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</si>
  <si>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</si>
  <si>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</si>
  <si>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</si>
  <si>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</si>
  <si>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</si>
  <si>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</si>
  <si>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</si>
  <si>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</si>
  <si>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</si>
  <si>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</si>
  <si>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</si>
  <si>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</si>
  <si>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</si>
  <si>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</si>
  <si>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</si>
  <si>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</si>
  <si>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</si>
  <si>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</si>
  <si>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</si>
  <si>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</si>
  <si>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</si>
  <si>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</si>
  <si>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</si>
  <si>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</si>
  <si>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</si>
  <si>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</si>
  <si>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</si>
  <si>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</si>
  <si>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</si>
  <si>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</si>
  <si>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</si>
  <si>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</si>
  <si>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</si>
  <si>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</si>
  <si>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</si>
  <si>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</si>
  <si>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</si>
  <si>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</si>
  <si>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</si>
  <si>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</si>
  <si>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</si>
  <si>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</si>
  <si>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</si>
  <si>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</si>
  <si>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</si>
  <si>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</si>
  <si>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</si>
  <si>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</si>
  <si>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</si>
  <si>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</si>
  <si>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</si>
  <si>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</si>
  <si>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</si>
  <si>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</si>
  <si>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</si>
  <si>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</si>
  <si>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</si>
  <si>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</si>
  <si>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</si>
  <si>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</si>
  <si>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</si>
  <si>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</si>
  <si>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</si>
  <si>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</si>
  <si>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</si>
  <si>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</si>
  <si>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</si>
  <si>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</si>
  <si>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</si>
  <si>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</si>
  <si>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</si>
  <si>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</si>
  <si>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</si>
  <si>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</si>
  <si>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</si>
  <si>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</si>
  <si>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</si>
  <si>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</si>
  <si>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</si>
  <si>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</si>
  <si>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</si>
  <si>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</si>
  <si>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</si>
  <si>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</si>
  <si>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</si>
  <si>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</si>
  <si>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</si>
  <si>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</si>
  <si>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</si>
  <si>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</si>
  <si>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</si>
  <si>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</si>
  <si>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</si>
  <si>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</si>
  <si>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</si>
  <si>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</si>
  <si>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</si>
  <si>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</si>
  <si>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</si>
  <si>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</si>
  <si>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</si>
  <si>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</si>
  <si>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</si>
  <si>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</si>
  <si>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</si>
  <si>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</si>
  <si>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</si>
  <si>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</si>
  <si>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</si>
  <si>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</si>
  <si>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</si>
  <si>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</si>
  <si>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</si>
  <si>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</si>
  <si>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</si>
  <si>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</si>
  <si>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</si>
  <si>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</si>
  <si>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</si>
  <si>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</si>
  <si>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</si>
  <si>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</si>
  <si>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</si>
  <si>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</si>
  <si>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</si>
  <si>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</si>
  <si>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</si>
  <si>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</si>
  <si>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</si>
  <si>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</si>
  <si>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</si>
  <si>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</si>
  <si>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</si>
  <si>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</si>
  <si>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</si>
  <si>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</si>
  <si>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</si>
  <si>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</si>
  <si>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</si>
  <si>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</si>
  <si>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</si>
  <si>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</si>
  <si>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</si>
  <si>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</si>
  <si>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</si>
  <si>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</si>
  <si>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</si>
  <si>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</si>
  <si>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</si>
  <si>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</si>
  <si>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</si>
  <si>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</si>
  <si>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</si>
  <si>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</si>
  <si>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</si>
  <si>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</si>
  <si>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</si>
  <si>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</si>
  <si>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</si>
  <si>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</si>
  <si>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</si>
  <si>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</si>
  <si>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</si>
  <si>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</si>
  <si>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</si>
  <si>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</si>
  <si>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</si>
  <si>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</si>
  <si>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</si>
  <si>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</si>
  <si>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</si>
  <si>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</si>
  <si>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</si>
  <si>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</si>
  <si>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</si>
  <si>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</si>
  <si>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</si>
  <si>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</si>
  <si>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</si>
  <si>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</si>
  <si>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</si>
  <si>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</si>
  <si>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</si>
  <si>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</si>
  <si>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</si>
  <si>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</si>
  <si>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</si>
  <si>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</si>
  <si>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</si>
  <si>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</si>
  <si>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</si>
  <si>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</si>
  <si>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</si>
  <si>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</si>
  <si>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</si>
  <si>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</si>
  <si>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</si>
  <si>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</si>
  <si>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</si>
  <si>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</si>
  <si>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</si>
  <si>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</si>
  <si>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</si>
  <si>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</si>
  <si>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</si>
  <si>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</si>
  <si>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</si>
  <si>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</si>
  <si>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</si>
  <si>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</si>
  <si>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</si>
  <si>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</si>
  <si>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</si>
  <si>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</si>
  <si>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</si>
  <si>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</si>
  <si>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</si>
  <si>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</si>
  <si>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</si>
  <si>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</si>
  <si>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</si>
  <si>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</si>
  <si>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</si>
  <si>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</si>
  <si>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</si>
  <si>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</si>
  <si>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</si>
  <si>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</si>
  <si>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</si>
  <si>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</si>
  <si>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</si>
  <si>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</si>
  <si>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</si>
  <si>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</si>
  <si>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</si>
  <si>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</si>
  <si>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</si>
  <si>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</si>
  <si>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</si>
  <si>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</si>
  <si>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</si>
  <si>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</si>
  <si>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</si>
  <si>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</si>
  <si>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</si>
  <si>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</si>
  <si>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</si>
  <si>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</si>
  <si>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</si>
  <si>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</si>
  <si>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</si>
  <si>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</si>
  <si>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</si>
  <si>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</si>
  <si>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</si>
  <si>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</si>
  <si>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</si>
  <si>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</si>
  <si>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</si>
  <si>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</si>
  <si>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</si>
  <si>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</si>
  <si>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</si>
  <si>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</si>
  <si>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</si>
  <si>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</si>
  <si>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</si>
  <si>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</si>
  <si>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</si>
  <si>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</si>
  <si>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</si>
  <si>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</si>
  <si>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</si>
  <si>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</si>
  <si>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</si>
  <si>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</si>
  <si>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</si>
  <si>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</si>
  <si>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</si>
  <si>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</si>
  <si>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</si>
  <si>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</si>
  <si>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</si>
  <si>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</si>
  <si>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</si>
  <si>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</si>
  <si>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</si>
  <si>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</si>
  <si>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</si>
  <si>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</si>
  <si>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</si>
  <si>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</si>
  <si>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</si>
  <si>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</si>
  <si>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</si>
  <si>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</si>
  <si>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</si>
  <si>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</si>
  <si>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</si>
  <si>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</si>
  <si>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</si>
  <si>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</si>
  <si>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</si>
  <si>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</si>
  <si>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</si>
  <si>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</si>
  <si>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</si>
  <si>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</si>
  <si>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</si>
  <si>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</si>
  <si>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</si>
  <si>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</si>
  <si>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</si>
  <si>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</si>
  <si>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</si>
  <si>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</si>
  <si>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</si>
  <si>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</si>
  <si>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</si>
  <si>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</si>
  <si>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</si>
  <si>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</si>
  <si>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</si>
  <si>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</si>
  <si>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</si>
  <si>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</si>
  <si>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</si>
  <si>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</si>
  <si>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</si>
  <si>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</si>
  <si>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</si>
  <si>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</si>
  <si>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</si>
  <si>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</si>
  <si>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</si>
  <si>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</si>
  <si>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</si>
  <si>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</si>
  <si>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</si>
  <si>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</si>
  <si>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</si>
  <si>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</si>
  <si>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</si>
  <si>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</si>
  <si>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</si>
  <si>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</si>
  <si>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</si>
  <si>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</si>
  <si>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</si>
  <si>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</si>
  <si>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</si>
  <si>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</si>
  <si>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</si>
  <si>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</si>
  <si>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</si>
  <si>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</si>
  <si>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</si>
  <si>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</si>
  <si>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</si>
  <si>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</si>
  <si>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</si>
  <si>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</si>
  <si>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</si>
  <si>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</si>
  <si>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</si>
  <si>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</si>
  <si>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</si>
  <si>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</si>
  <si>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</si>
  <si>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</si>
  <si>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</si>
  <si>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</si>
  <si>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</si>
  <si>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</si>
  <si>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</si>
  <si>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</si>
  <si>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</si>
  <si>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</si>
  <si>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</si>
  <si>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</si>
  <si>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</si>
  <si>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</si>
  <si>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</si>
  <si>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</si>
  <si>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</si>
  <si>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</si>
  <si>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</si>
  <si>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</si>
  <si>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</si>
  <si>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</si>
  <si>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</si>
  <si>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</si>
  <si>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</si>
  <si>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</si>
  <si>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</si>
  <si>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</si>
  <si>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</si>
  <si>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</si>
  <si>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</si>
  <si>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</si>
  <si>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</si>
  <si>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</si>
  <si>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</si>
  <si>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</si>
  <si>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</si>
  <si>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</si>
  <si>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</si>
  <si>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</si>
  <si>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</si>
  <si>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</si>
  <si>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</si>
  <si>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</si>
  <si>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</si>
  <si>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</si>
  <si>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</si>
  <si>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</si>
  <si>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</si>
  <si>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</si>
  <si>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</si>
  <si>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</si>
  <si>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</si>
  <si>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</si>
  <si>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</si>
  <si>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</si>
  <si>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</si>
  <si>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</si>
  <si>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</si>
  <si>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</si>
  <si>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</si>
  <si>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</si>
  <si>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</si>
  <si>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</si>
  <si>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</si>
  <si>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</si>
  <si>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</si>
  <si>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</si>
  <si>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</si>
  <si>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</si>
  <si>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</si>
  <si>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</si>
  <si>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</si>
  <si>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</si>
  <si>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</si>
  <si>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</si>
  <si>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</si>
  <si>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</si>
  <si>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</si>
  <si>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</si>
  <si>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</si>
  <si>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</si>
  <si>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</si>
  <si>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</si>
  <si>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</si>
  <si>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</si>
  <si>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</si>
  <si>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</si>
  <si>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</si>
  <si>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</si>
  <si>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</si>
  <si>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</si>
  <si>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</si>
  <si>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</si>
  <si>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</si>
  <si>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</si>
  <si>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</si>
  <si>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</si>
  <si>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</si>
  <si>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</si>
  <si>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</si>
  <si>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</si>
  <si>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</si>
  <si>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</si>
  <si>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</si>
  <si>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</si>
  <si>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</si>
  <si>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</si>
  <si>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</si>
  <si>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</si>
  <si>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</si>
  <si>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</si>
  <si>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</si>
  <si>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</si>
  <si>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</si>
  <si>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</si>
  <si>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</si>
  <si>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</si>
  <si>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</si>
  <si>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</si>
  <si>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</si>
  <si>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</si>
  <si>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</si>
  <si>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</si>
  <si>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</si>
  <si>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</si>
  <si>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</si>
  <si>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</si>
  <si>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</si>
  <si>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</si>
  <si>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</si>
  <si>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</si>
  <si>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</si>
  <si>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</si>
  <si>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</si>
  <si>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</si>
  <si>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</si>
  <si>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</si>
  <si>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</si>
  <si>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</si>
  <si>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</si>
  <si>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</si>
  <si>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</si>
  <si>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</si>
  <si>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</si>
  <si>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</si>
  <si>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</si>
  <si>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</si>
  <si>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</si>
  <si>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</si>
  <si>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</si>
  <si>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</si>
  <si>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</si>
  <si>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</si>
  <si>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</si>
  <si>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</si>
  <si>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</si>
  <si>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</si>
  <si>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</si>
  <si>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</si>
  <si>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</si>
  <si>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</si>
  <si>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</si>
  <si>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</si>
  <si>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</si>
  <si>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</si>
  <si>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</si>
  <si>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</si>
  <si>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</si>
  <si>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</si>
  <si>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</si>
  <si>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</si>
  <si>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</si>
  <si>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</si>
  <si>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</si>
  <si>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</si>
  <si>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</si>
  <si>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</si>
  <si>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</si>
  <si>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</si>
  <si>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</si>
  <si>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</si>
  <si>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</si>
  <si>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</si>
  <si>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</si>
  <si>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</si>
  <si>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</si>
  <si>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</si>
  <si>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</si>
  <si>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</si>
  <si>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</si>
  <si>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</si>
  <si>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</si>
  <si>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</si>
  <si>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</si>
  <si>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</si>
  <si>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</si>
  <si>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</si>
  <si>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</si>
  <si>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</si>
  <si>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</si>
  <si>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</si>
  <si>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</si>
  <si>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</si>
  <si>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</si>
  <si>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</si>
  <si>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</si>
  <si>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</si>
  <si>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</si>
  <si>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</si>
  <si>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</si>
  <si>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</si>
  <si>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</si>
  <si>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</si>
  <si>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</si>
  <si>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</si>
  <si>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</si>
  <si>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</si>
  <si>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</si>
  <si>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</si>
  <si>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</si>
  <si>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</si>
  <si>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</si>
  <si>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</si>
  <si>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</si>
  <si>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</si>
  <si>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</si>
  <si>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</si>
  <si>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</si>
  <si>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</si>
  <si>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</si>
  <si>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</si>
  <si>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</si>
  <si>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</si>
  <si>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</si>
  <si>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</si>
  <si>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</si>
  <si>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</si>
  <si>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</si>
  <si>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</si>
  <si>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</si>
  <si>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</si>
  <si>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</si>
  <si>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</si>
  <si>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</si>
  <si>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</si>
  <si>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</si>
  <si>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</si>
  <si>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</si>
  <si>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</si>
  <si>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</si>
  <si>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</si>
  <si>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</si>
  <si>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</si>
  <si>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</si>
  <si>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</si>
  <si>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</si>
  <si>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</si>
  <si>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</si>
  <si>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</si>
  <si>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</si>
  <si>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</si>
  <si>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</si>
  <si>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</si>
  <si>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</si>
  <si>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</si>
  <si>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</si>
  <si>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</si>
  <si>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</si>
  <si>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</si>
  <si>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</si>
  <si>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</si>
  <si>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</si>
  <si>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</si>
  <si>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</si>
  <si>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</si>
  <si>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</si>
  <si>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</si>
  <si>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</si>
  <si>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</si>
  <si>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</si>
  <si>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</si>
  <si>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</si>
  <si>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</si>
  <si>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</si>
  <si>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</si>
  <si>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</si>
  <si>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</si>
  <si>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</si>
  <si>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</si>
  <si>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</si>
  <si>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</si>
  <si>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</si>
  <si>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</si>
  <si>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</si>
  <si>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</si>
  <si>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</si>
  <si>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</si>
  <si>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</si>
  <si>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</si>
  <si>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</si>
  <si>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</si>
  <si>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</si>
  <si>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</si>
  <si>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</si>
  <si>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</si>
  <si>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</si>
  <si>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</si>
  <si>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</si>
  <si>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</si>
  <si>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</si>
  <si>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</si>
  <si>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</si>
  <si>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</si>
  <si>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</si>
  <si>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</si>
  <si>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</si>
  <si>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</si>
  <si>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</si>
  <si>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</si>
  <si>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</si>
  <si>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</si>
  <si>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</si>
  <si>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</si>
  <si>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</si>
  <si>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</si>
  <si>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</si>
  <si>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</si>
  <si>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</si>
  <si>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</si>
  <si>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</si>
  <si>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</si>
  <si>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</si>
  <si>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</si>
  <si>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</si>
  <si>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</si>
  <si>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</si>
  <si>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</si>
  <si>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</si>
  <si>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</si>
  <si>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</si>
  <si>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</si>
  <si>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</si>
  <si>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</si>
  <si>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</si>
  <si>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</si>
  <si>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</si>
  <si>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</si>
  <si>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</si>
  <si>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</si>
  <si>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</si>
  <si>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</si>
  <si>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</si>
  <si>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</si>
  <si>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</si>
  <si>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</si>
  <si>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</si>
  <si>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</si>
  <si>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</si>
  <si>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</si>
  <si>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</si>
  <si>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</si>
  <si>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</si>
  <si>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</si>
  <si>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</si>
  <si>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</si>
  <si>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</si>
  <si>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</si>
  <si>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</si>
  <si>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</si>
  <si>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</si>
  <si>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</si>
  <si>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</si>
  <si>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</si>
  <si>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</si>
  <si>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</si>
  <si>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</si>
  <si>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</si>
  <si>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</si>
  <si>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</si>
  <si>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</si>
  <si>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</si>
  <si>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</si>
  <si>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</si>
  <si>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</si>
  <si>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</si>
  <si>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</si>
  <si>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</si>
  <si>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</si>
  <si>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</si>
  <si>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</si>
  <si>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</si>
  <si>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</si>
  <si>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</si>
  <si>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</si>
  <si>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</si>
  <si>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</si>
  <si>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</si>
  <si>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</si>
  <si>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</si>
  <si>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</si>
  <si>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</si>
  <si>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</si>
  <si>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</si>
  <si>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</si>
  <si>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</si>
  <si>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</si>
  <si>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</si>
  <si>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</si>
  <si>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</si>
  <si>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</si>
  <si>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</si>
  <si>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</si>
  <si>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</si>
  <si>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</si>
  <si>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</si>
  <si>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</si>
  <si>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</si>
  <si>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</si>
  <si>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</si>
  <si>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</si>
  <si>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</si>
  <si>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</si>
  <si>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</si>
  <si>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</si>
  <si>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</si>
  <si>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</si>
  <si>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</si>
  <si>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</si>
  <si>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</si>
  <si>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</si>
  <si>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</si>
  <si>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</si>
  <si>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</si>
  <si>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</si>
  <si>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</si>
  <si>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</si>
  <si>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</si>
  <si>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</si>
  <si>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</si>
  <si>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</si>
  <si>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</si>
  <si>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</si>
  <si>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</si>
  <si>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</si>
  <si>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</si>
  <si>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</si>
  <si>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</si>
  <si>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</si>
  <si>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</si>
  <si>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</si>
  <si>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</si>
  <si>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</si>
  <si>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</si>
  <si>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</si>
  <si>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</si>
  <si>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</si>
  <si>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</si>
  <si>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</si>
  <si>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</si>
  <si>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</si>
  <si>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</si>
  <si>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</si>
  <si>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</si>
  <si>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</si>
  <si>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</si>
  <si>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</si>
  <si>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</si>
  <si>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</si>
  <si>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</si>
  <si>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</si>
  <si>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</si>
  <si>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</si>
  <si>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</si>
  <si>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</si>
  <si>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</si>
  <si>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</si>
  <si>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</si>
  <si>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</si>
  <si>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</si>
  <si>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</si>
  <si>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</si>
  <si>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</si>
  <si>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</si>
  <si>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</si>
  <si>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</si>
  <si>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</si>
  <si>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</si>
  <si>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</si>
  <si>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</si>
  <si>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</si>
  <si>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</si>
  <si>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</si>
  <si>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</si>
  <si>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</si>
  <si>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</si>
  <si>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</si>
  <si>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</si>
  <si>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</si>
  <si>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</si>
  <si>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</si>
  <si>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</si>
  <si>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</si>
  <si>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</si>
  <si>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</si>
  <si>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</si>
  <si>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</si>
  <si>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</si>
  <si>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</si>
  <si>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</si>
  <si>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</si>
  <si>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</si>
  <si>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</si>
  <si>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</si>
  <si>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</si>
  <si>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</si>
  <si>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</si>
  <si>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</si>
  <si>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</si>
  <si>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</si>
  <si>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</si>
  <si>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</si>
  <si>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</si>
  <si>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</si>
  <si>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</si>
  <si>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</si>
  <si>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</si>
  <si>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</si>
  <si>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</si>
  <si>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</si>
  <si>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</si>
  <si>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</si>
  <si>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</si>
  <si>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</si>
  <si>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</si>
  <si>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</si>
  <si>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</si>
  <si>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</si>
  <si>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</si>
  <si>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</si>
  <si>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</si>
  <si>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</si>
  <si>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</si>
  <si>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</si>
  <si>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</si>
  <si>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</si>
  <si>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</si>
  <si>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</si>
  <si>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</si>
  <si>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</si>
  <si>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</si>
  <si>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</si>
  <si>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</si>
  <si>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</si>
  <si>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</si>
  <si>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</si>
  <si>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</si>
  <si>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</si>
  <si>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</si>
  <si>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</si>
  <si>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</si>
  <si>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</si>
  <si>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</si>
  <si>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</si>
  <si>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</si>
  <si>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</si>
  <si>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</si>
  <si>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</si>
  <si>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</si>
  <si>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</si>
  <si>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</si>
  <si>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</si>
  <si>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</si>
  <si>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</si>
  <si>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</si>
  <si>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</si>
  <si>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</si>
  <si>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</si>
  <si>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</si>
  <si>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</si>
  <si>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</si>
  <si>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</si>
  <si>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</si>
  <si>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</si>
  <si>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</si>
  <si>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</si>
  <si>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</si>
  <si>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</si>
  <si>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</si>
  <si>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</si>
  <si>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</si>
  <si>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</si>
  <si>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</si>
  <si>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</si>
  <si>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</si>
  <si>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</si>
  <si>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</si>
  <si>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</si>
  <si>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</si>
  <si>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</si>
  <si>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</si>
  <si>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</si>
  <si>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</si>
  <si>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</si>
  <si>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</si>
  <si>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</si>
  <si>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</si>
  <si>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</si>
  <si>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</si>
  <si>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</si>
  <si>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</si>
  <si>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</si>
  <si>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</si>
  <si>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</si>
  <si>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</si>
  <si>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</si>
  <si>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</si>
  <si>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</si>
  <si>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</si>
  <si>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</si>
  <si>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</si>
  <si>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</si>
  <si>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</si>
  <si>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</si>
  <si>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</si>
  <si>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</si>
  <si>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</si>
  <si>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</si>
  <si>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</si>
  <si>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</si>
  <si>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</si>
  <si>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</si>
  <si>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</si>
  <si>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</si>
  <si>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</si>
  <si>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</si>
  <si>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</si>
  <si>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</si>
  <si>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</si>
  <si>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</si>
  <si>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</si>
  <si>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</si>
  <si>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</si>
  <si>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</si>
  <si>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</si>
  <si>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</si>
  <si>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</si>
  <si>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</si>
  <si>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</si>
  <si>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</si>
  <si>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</si>
  <si>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</si>
  <si>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</si>
  <si>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</si>
  <si>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</si>
  <si>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</si>
  <si>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</si>
  <si>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</si>
  <si>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</si>
  <si>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</si>
  <si>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</si>
  <si>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</si>
  <si>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</si>
  <si>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</si>
  <si>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</si>
  <si>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</si>
  <si>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</si>
  <si>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</si>
  <si>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</si>
  <si>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</si>
  <si>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</si>
  <si>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</si>
  <si>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</si>
  <si>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</si>
  <si>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</si>
  <si>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</si>
  <si>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</si>
  <si>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</si>
  <si>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</si>
  <si>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</si>
  <si>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</si>
  <si>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</si>
  <si>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</si>
  <si>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</si>
  <si>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</si>
  <si>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</si>
  <si>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</si>
  <si>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</si>
  <si>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</si>
  <si>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</si>
  <si>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</si>
  <si>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</si>
  <si>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</si>
  <si>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</si>
  <si>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</si>
  <si>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</si>
  <si>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</si>
  <si>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</si>
  <si>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</si>
  <si>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</si>
  <si>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</si>
  <si>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</si>
  <si>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</si>
  <si>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</si>
  <si>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</si>
  <si>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</si>
  <si>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</si>
  <si>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</si>
  <si>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</si>
  <si>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</si>
  <si>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</si>
  <si>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</si>
  <si>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</si>
  <si>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</si>
  <si>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</si>
  <si>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</si>
  <si>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</si>
  <si>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</si>
  <si>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</si>
  <si>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</si>
  <si>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</si>
  <si>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</si>
  <si>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</si>
  <si>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</si>
  <si>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</si>
  <si>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</si>
  <si>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</si>
  <si>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</si>
  <si>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</si>
  <si>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</si>
  <si>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</si>
  <si>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</si>
  <si>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</si>
  <si>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</si>
  <si>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</si>
  <si>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</si>
  <si>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</si>
  <si>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</si>
  <si>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</si>
  <si>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</si>
  <si>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</si>
  <si>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</si>
  <si>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</si>
  <si>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</si>
  <si>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</si>
  <si>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</si>
  <si>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</si>
  <si>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</si>
  <si>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</si>
  <si>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</si>
  <si>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</si>
  <si>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</si>
  <si>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</si>
  <si>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</si>
  <si>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</si>
  <si>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</si>
  <si>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</si>
  <si>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</si>
  <si>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</si>
  <si>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</si>
  <si>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</si>
  <si>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</si>
  <si>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</si>
  <si>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</si>
  <si>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</si>
  <si>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</si>
  <si>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</si>
  <si>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</si>
  <si>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</si>
  <si>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</si>
  <si>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</si>
  <si>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</si>
  <si>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</si>
  <si>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</si>
  <si>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</si>
  <si>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</si>
  <si>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</si>
  <si>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</si>
  <si>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</si>
  <si>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</si>
  <si>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</si>
  <si>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</si>
  <si>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</si>
  <si>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</si>
  <si>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</si>
  <si>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</si>
  <si>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</si>
  <si>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</si>
  <si>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</si>
  <si>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</si>
  <si>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</si>
  <si>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</si>
  <si>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</si>
  <si>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</si>
  <si>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</si>
  <si>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</si>
  <si>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</si>
  <si>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</si>
  <si>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</si>
  <si>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</si>
  <si>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</si>
  <si>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</si>
  <si>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</si>
  <si>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</si>
  <si>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</si>
  <si>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</si>
  <si>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</si>
  <si>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</si>
  <si>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</si>
  <si>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</si>
  <si>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</si>
  <si>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</si>
  <si>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</si>
  <si>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</si>
  <si>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</si>
  <si>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</si>
  <si>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</si>
  <si>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</si>
  <si>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</si>
  <si>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</si>
  <si>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</si>
  <si>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</si>
  <si>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</si>
  <si>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</si>
  <si>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</si>
  <si>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</si>
  <si>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</si>
  <si>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</si>
  <si>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</si>
  <si>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</si>
  <si>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</si>
  <si>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</si>
  <si>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</si>
  <si>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</si>
  <si>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</si>
  <si>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</si>
  <si>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</si>
  <si>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</si>
  <si>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</si>
  <si>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</si>
  <si>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</si>
  <si>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</si>
  <si>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</si>
  <si>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</si>
  <si>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</si>
  <si>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</si>
  <si>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</si>
  <si>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</si>
  <si>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</si>
  <si>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</si>
  <si>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</si>
  <si>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</si>
  <si>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</si>
  <si>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</si>
  <si>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</si>
  <si>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</si>
  <si>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</si>
  <si>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</si>
  <si>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</si>
  <si>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</si>
  <si>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</si>
  <si>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</si>
  <si>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</si>
  <si>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</si>
  <si>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</si>
  <si>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</si>
  <si>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</si>
  <si>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</si>
  <si>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</si>
  <si>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</si>
  <si>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</si>
  <si>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</si>
  <si>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</si>
  <si>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</si>
  <si>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</si>
  <si>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</si>
  <si>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</si>
  <si>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</si>
  <si>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</si>
  <si>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</si>
  <si>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</si>
  <si>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</si>
  <si>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</si>
  <si>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</si>
  <si>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</si>
  <si>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</si>
  <si>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</si>
  <si>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</si>
  <si>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</si>
  <si>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</si>
  <si>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</si>
  <si>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</si>
  <si>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</si>
  <si>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</si>
  <si>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</si>
  <si>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</si>
  <si>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</si>
  <si>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</si>
  <si>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</si>
  <si>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</si>
  <si>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</si>
  <si>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</si>
  <si>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</si>
  <si>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</si>
  <si>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</si>
  <si>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</si>
  <si>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</si>
  <si>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</si>
  <si>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</si>
  <si>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</si>
  <si>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</si>
  <si>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</si>
  <si>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</si>
  <si>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</si>
  <si>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</si>
  <si>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</si>
  <si>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</si>
  <si>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</si>
  <si>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</si>
  <si>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</si>
  <si>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</si>
  <si>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</si>
  <si>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</si>
  <si>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</si>
  <si>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</si>
  <si>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</si>
  <si>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</si>
  <si>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</si>
  <si>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</si>
  <si>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</si>
  <si>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</si>
  <si>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</si>
  <si>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</si>
  <si>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</si>
  <si>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</si>
  <si>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</si>
  <si>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</si>
  <si>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</si>
  <si>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</si>
  <si>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</si>
  <si>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</si>
  <si>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</si>
  <si>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</si>
  <si>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</si>
  <si>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</si>
  <si>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</si>
  <si>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</si>
  <si>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</si>
  <si>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</si>
  <si>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</si>
  <si>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</si>
  <si>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</si>
  <si>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</si>
  <si>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</si>
  <si>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</si>
  <si>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</si>
  <si>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</si>
  <si>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</si>
  <si>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</si>
  <si>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</si>
  <si>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</si>
  <si>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</si>
  <si>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</si>
  <si>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</si>
  <si>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</si>
  <si>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</si>
  <si>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</si>
  <si>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</si>
  <si>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</si>
  <si>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</si>
  <si>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</si>
  <si>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</si>
  <si>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</si>
  <si>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</si>
  <si>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</si>
  <si>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</si>
  <si>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</si>
  <si>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</si>
  <si>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</si>
  <si>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</si>
  <si>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</si>
  <si>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</si>
  <si>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</si>
  <si>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</si>
  <si>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</si>
  <si>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</si>
  <si>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</si>
  <si>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</si>
  <si>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</si>
  <si>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</si>
  <si>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</si>
  <si>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</si>
  <si>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</si>
  <si>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</si>
  <si>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</si>
  <si>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</si>
  <si>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</si>
  <si>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</si>
  <si>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</si>
  <si>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</si>
  <si>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</si>
  <si>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</si>
  <si>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</si>
  <si>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</si>
  <si>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</si>
  <si>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</si>
  <si>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</si>
  <si>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</si>
  <si>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</si>
  <si>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</si>
  <si>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</si>
  <si>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</si>
  <si>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</si>
  <si>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</si>
  <si>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</si>
  <si>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</si>
  <si>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</si>
  <si>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</si>
  <si>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</si>
  <si>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</si>
  <si>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</si>
  <si>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</si>
  <si>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</si>
  <si>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</si>
  <si>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</si>
  <si>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</si>
  <si>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</si>
  <si>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</si>
  <si>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</si>
  <si>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</si>
  <si>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</si>
  <si>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</si>
  <si>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</si>
  <si>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</si>
  <si>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</si>
  <si>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</si>
  <si>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</si>
  <si>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</si>
  <si>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</si>
  <si>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</si>
  <si>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</si>
  <si>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</si>
  <si>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</si>
  <si>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</si>
  <si>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</si>
  <si>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</si>
  <si>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</si>
  <si>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</si>
  <si>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</si>
  <si>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</si>
  <si>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</si>
  <si>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</si>
  <si>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</si>
  <si>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</si>
  <si>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</si>
  <si>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</si>
  <si>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</si>
  <si>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</si>
  <si>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</si>
  <si>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</si>
  <si>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</si>
  <si>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</si>
  <si>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</si>
  <si>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</si>
  <si>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</si>
  <si>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</si>
  <si>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</si>
  <si>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</si>
  <si>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</si>
  <si>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</si>
  <si>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</si>
  <si>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</si>
  <si>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</si>
  <si>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</si>
  <si>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</si>
  <si>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</si>
  <si>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</si>
  <si>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</si>
  <si>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</si>
  <si>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</si>
  <si>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</si>
  <si>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</si>
  <si>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</si>
  <si>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</si>
  <si>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</si>
  <si>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</si>
  <si>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</si>
  <si>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</si>
  <si>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</si>
  <si>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</si>
  <si>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</si>
  <si>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</si>
  <si>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</si>
  <si>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</si>
  <si>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</si>
  <si>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</si>
  <si>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</si>
  <si>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</si>
  <si>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</si>
  <si>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</si>
  <si>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</si>
  <si>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</si>
  <si>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</si>
  <si>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</si>
  <si>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</si>
  <si>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</si>
  <si>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</si>
  <si>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</si>
  <si>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</si>
  <si>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</si>
  <si>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</si>
  <si>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</si>
  <si>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</si>
  <si>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</si>
  <si>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</si>
  <si>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</si>
  <si>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</si>
  <si>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</si>
  <si>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</si>
  <si>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</si>
  <si>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</si>
  <si>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</si>
  <si>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</si>
  <si>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</si>
  <si>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</si>
  <si>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</si>
  <si>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</si>
  <si>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</si>
  <si>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</si>
  <si>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</si>
  <si>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</si>
  <si>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</si>
  <si>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</si>
  <si>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</si>
  <si>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</si>
  <si>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</si>
  <si>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</si>
  <si>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</si>
  <si>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</si>
  <si>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</si>
  <si>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</si>
  <si>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</si>
  <si>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</si>
  <si>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</si>
  <si>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</si>
  <si>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</si>
  <si>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</si>
  <si>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</si>
  <si>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</si>
  <si>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</si>
  <si>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</si>
  <si>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</si>
  <si>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</si>
  <si>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</si>
  <si>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</si>
  <si>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</si>
  <si>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</si>
  <si>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</si>
  <si>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</si>
  <si>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</si>
  <si>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</si>
  <si>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</si>
  <si>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</si>
  <si>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</si>
  <si>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</si>
  <si>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</si>
  <si>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</si>
  <si>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</si>
  <si>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</si>
  <si>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</si>
  <si>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</si>
  <si>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</si>
  <si>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</si>
  <si>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</si>
  <si>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</si>
  <si>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</si>
  <si>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</si>
  <si>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</si>
  <si>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</si>
  <si>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</si>
  <si>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</si>
  <si>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</si>
  <si>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</si>
  <si>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</si>
  <si>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</si>
  <si>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</si>
  <si>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</si>
  <si>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</si>
  <si>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</si>
  <si>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</si>
  <si>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</si>
  <si>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</si>
  <si>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</si>
  <si>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</si>
  <si>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</si>
  <si>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</si>
  <si>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</si>
  <si>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</si>
  <si>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</si>
  <si>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</si>
  <si>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</si>
  <si>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</si>
  <si>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</si>
  <si>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</si>
  <si>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</si>
  <si>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</si>
  <si>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</si>
  <si>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</si>
  <si>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</si>
  <si>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</si>
  <si>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</si>
  <si>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</si>
  <si>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</si>
  <si>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</si>
  <si>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</si>
  <si>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</si>
  <si>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</si>
  <si>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</si>
  <si>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</si>
  <si>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</si>
  <si>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</si>
  <si>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</si>
  <si>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</si>
  <si>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</si>
  <si>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</si>
  <si>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</si>
  <si>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</si>
  <si>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</si>
  <si>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</si>
  <si>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</si>
  <si>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</si>
  <si>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</si>
  <si>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</si>
  <si>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</si>
  <si>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</si>
  <si>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</si>
  <si>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</si>
  <si>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</si>
  <si>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</si>
  <si>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</si>
  <si>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</si>
  <si>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</si>
  <si>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</si>
  <si>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</si>
  <si>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</si>
  <si>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</si>
  <si>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</si>
  <si>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</si>
  <si>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</si>
  <si>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</si>
  <si>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</si>
  <si>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</si>
  <si>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</si>
  <si>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</si>
  <si>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</si>
  <si>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</si>
  <si>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</si>
  <si>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</si>
  <si>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</si>
  <si>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</si>
  <si>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</si>
  <si>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</si>
  <si>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</si>
  <si>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</si>
  <si>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</si>
  <si>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</si>
  <si>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</si>
  <si>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</si>
  <si>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</si>
  <si>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</si>
  <si>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</si>
  <si>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</si>
  <si>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</si>
  <si>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</si>
  <si>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</si>
  <si>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</si>
  <si>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</si>
  <si>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</si>
  <si>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</si>
  <si>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</si>
  <si>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</si>
  <si>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</si>
  <si>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</si>
  <si>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</si>
  <si>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</si>
  <si>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</si>
  <si>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</si>
  <si>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</si>
  <si>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</si>
  <si>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</si>
  <si>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</si>
  <si>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</si>
  <si>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</si>
  <si>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</si>
  <si>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</si>
  <si>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</si>
  <si>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</si>
  <si>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</si>
  <si>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</si>
  <si>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</si>
  <si>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</si>
  <si>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</si>
  <si>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</si>
  <si>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</si>
  <si>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</si>
  <si>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</si>
  <si>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</si>
  <si>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</si>
  <si>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</si>
  <si>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</si>
  <si>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</si>
  <si>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</si>
  <si>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</si>
  <si>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</si>
  <si>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</si>
  <si>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</si>
  <si>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</si>
  <si>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</si>
  <si>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</si>
  <si>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</si>
  <si>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</si>
  <si>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</si>
  <si>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</si>
  <si>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</si>
  <si>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</si>
  <si>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</si>
  <si>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</si>
  <si>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</si>
  <si>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</si>
  <si>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</si>
  <si>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</si>
  <si>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</si>
  <si>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</si>
  <si>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</si>
  <si>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</si>
  <si>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</si>
  <si>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</si>
  <si>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</si>
  <si>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</si>
  <si>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</si>
  <si>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</si>
  <si>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</si>
  <si>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</si>
  <si>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</si>
  <si>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</si>
  <si>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</si>
  <si>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</si>
  <si>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</si>
  <si>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</si>
  <si>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</si>
  <si>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</si>
  <si>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</si>
  <si>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</si>
  <si>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</si>
  <si>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</si>
  <si>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</si>
  <si>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</si>
  <si>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</si>
  <si>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</si>
  <si>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</si>
  <si>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</si>
  <si>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</si>
  <si>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</si>
  <si>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</si>
  <si>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</si>
  <si>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</si>
  <si>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</si>
  <si>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</si>
  <si>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</si>
  <si>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</si>
  <si>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</si>
  <si>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</si>
  <si>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</si>
  <si>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</si>
  <si>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</si>
  <si>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</si>
  <si>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</si>
  <si>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</si>
  <si>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</si>
  <si>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</si>
  <si>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</si>
  <si>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</si>
  <si>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</si>
  <si>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</si>
  <si>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</si>
  <si>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</si>
  <si>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</si>
  <si>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</si>
  <si>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</si>
  <si>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</si>
  <si>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</si>
  <si>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</si>
  <si>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</si>
  <si>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</si>
  <si>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</si>
  <si>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</si>
  <si>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</si>
  <si>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</si>
  <si>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</si>
  <si>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</si>
  <si>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</si>
  <si>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</si>
  <si>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</si>
  <si>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</si>
  <si>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</si>
  <si>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</si>
  <si>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</si>
  <si>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</si>
  <si>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</si>
  <si>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</si>
  <si>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</si>
  <si>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</si>
  <si>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</si>
  <si>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</si>
  <si>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</si>
  <si>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</si>
  <si>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</si>
  <si>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</si>
  <si>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</si>
  <si>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</si>
  <si>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</si>
  <si>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</si>
  <si>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</si>
  <si>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</si>
  <si>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</si>
  <si>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</si>
  <si>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</si>
  <si>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</si>
  <si>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</si>
  <si>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</si>
  <si>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</si>
  <si>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</si>
  <si>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</si>
  <si>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</si>
  <si>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</si>
  <si>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</si>
  <si>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</si>
  <si>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</si>
  <si>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</si>
  <si>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</si>
  <si>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</si>
  <si>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</si>
  <si>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</si>
  <si>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</si>
  <si>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</si>
  <si>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</si>
  <si>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</si>
  <si>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</si>
  <si>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</si>
  <si>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</si>
  <si>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</si>
  <si>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</si>
  <si>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</si>
  <si>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</si>
  <si>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</si>
  <si>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</si>
  <si>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</si>
  <si>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</si>
  <si>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</si>
  <si>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</si>
  <si>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</si>
  <si>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</si>
  <si>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</si>
  <si>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</si>
  <si>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</si>
  <si>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</si>
  <si>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</si>
  <si>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</si>
  <si>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</si>
  <si>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</si>
  <si>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</si>
  <si>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</si>
  <si>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</si>
  <si>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</si>
  <si>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</si>
  <si>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</si>
  <si>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</si>
  <si>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</si>
  <si>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</si>
  <si>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</si>
  <si>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</si>
  <si>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</si>
  <si>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</si>
  <si>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</si>
  <si>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</si>
  <si>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</si>
  <si>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</si>
  <si>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</si>
  <si>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</si>
  <si>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</si>
  <si>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</si>
  <si>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</si>
  <si>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</si>
  <si>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</si>
  <si>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</si>
  <si>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</si>
  <si>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</si>
  <si>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</si>
  <si>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Tecnotion B.V.</t>
  </si>
  <si>
    <t>Newton 10. 7600AA Almelo - The Netherlands</t>
  </si>
  <si>
    <t>JPM van Alen</t>
  </si>
  <si>
    <t>Pieterjan.van.alen@tecnotion.com</t>
  </si>
  <si>
    <t>31(0)54636314</t>
  </si>
  <si>
    <t>A. Mulder</t>
  </si>
  <si>
    <t>Quality Manager TQM</t>
  </si>
  <si>
    <t>Aldo.Mulder@tecnotion.com</t>
  </si>
  <si>
    <t>Derived the answer from responses of 68 suppliers, out of total 71 suppliers.</t>
  </si>
  <si>
    <t>Derived the answer from responses of 68 suppliers, out of total 71 suppliers. Total of 13 supplier(s) sourced the metal from DRC countries. The following 1 supplier(s) processed the metal through Conformant certified smelter: Analog Devices, Inc. The following 12 supplier(s) processed the metal from one or more smelters that is not currently Conformant certified: ABB, Avnet, Inc., Cooner Wire Company, Johnson Controls, Molex, LLC, NXP Semiconductors Netherlands B.V., Sealed Air, TDK Corporation, TE Connectivity Corporation (and its affiliates and subsidiaries), VDL TBP electronics, WAGO GmbH &amp; Co. KG, WESCO|Anixter. Please note that the RMAP Conformant list is continually updated.</t>
  </si>
  <si>
    <t>Derived the answer from responses of 68 suppliers, out of total 71 suppliers. Total of 28 supplier(s) sourced the metal from DRC countries. The following 5 supplier(s) processed the metal through Conformant certified smelter: Amphenol FCI, Analog Devices, Inc, Henkel Corporation and its affiliates and subsidiaries, Kunshan DaYang  circuit board co., LTD, TE Connectivity Corporation (and its affiliates and subsidiaries). The following 24 supplier(s) processed the metal from one or more smelters that is not currently Conformant certified: 2Connect BV, ABB, ALPHA , Avnet, Inc., Cooner Wire Company, Element Solutions Inc (ESI), HARTING, HUMMEL AG, IEWC , J.S.T.Mfg.Co.,Ltd., Johnson Controls, LEMO SA, Molex, LLC, NXP Semiconductors Netherlands B.V., Positronic, an Amphenol Company, Radiall, Schaeffler, Sealed Air, Smiths Interconnect, TDK Corporation, TE Connectivity Corporation (and its affiliates and subsidiaries), VDL TBP electronics, WAGO GmbH &amp; Co. KG, WESCO|Anixter. Please note that the RMAP Conformant list is continually updated..</t>
  </si>
  <si>
    <t>Derived the answer from responses of 68 suppliers, out of total 71 suppliers. Total of 28 supplier(s) sourced the metal from DRC countries. The following 5 supplier(s) processed the metal through Conformant certified smelter: Amphenol FCI, Analog Devices, Inc, Henkel Corporation and its affiliates and subsidiaries, Kunshan DaYang  circuit board co., LTD, TE Connectivity Corporation (and its affiliates and subsidiaries). The following 24 supplier(s) processed the metal from one or more smelters that is not currently Conformant certified: 2Connect BV, ABB, ALPHA , Avnet, Inc., Cooner Wire Company, Element Solutions Inc (ESI), HARTING, HUMMEL AG, IEWC , J.S.T.Mfg.Co.,Ltd., Johnson Controls, LEMO SA, Molex, LLC, NXP Semiconductors Netherlands B.V., Positronic, an Amphenol Company, Radiall, Schaeffler, Sealed Air, Smiths Interconnect, TDK Corporation, TE Connectivity Corporation (and its affiliates and subsidiaries), VDL TBP electronics, WAGO GmbH &amp; Co. KG, WESCO|Anixter. Please note that the RMAP Conformant list is continually updated.</t>
  </si>
  <si>
    <t>http://www.tecnotion.com/certifications.html</t>
  </si>
  <si>
    <t>Document review and SQR validation by Greensoft Tecnology. Inc.</t>
  </si>
  <si>
    <t>Process to manage corrective actions will be implemented</t>
  </si>
  <si>
    <t>Value Trading</t>
  </si>
  <si>
    <t>CID003617</t>
  </si>
  <si>
    <t>Antwerp,Antwerpen</t>
  </si>
  <si>
    <t>Due diligence results pending | -2146826246</t>
  </si>
  <si>
    <t>Tourville-les-Ifs，Normandie</t>
  </si>
  <si>
    <t>Kempton Park, Gauteng</t>
  </si>
  <si>
    <t>See aggregated data below for  RJC Sourcing</t>
  </si>
  <si>
    <t>RMI conformant | Due diligence results pending</t>
  </si>
  <si>
    <t>Compliant Conformant</t>
  </si>
  <si>
    <t>Greenville, North Carolina</t>
  </si>
  <si>
    <t>RMI active | Due diligence results pending | -2146826246</t>
  </si>
  <si>
    <t>Rudrapur, Uttarakhand</t>
  </si>
  <si>
    <t>Uttarakhand</t>
  </si>
  <si>
    <t>Sellem Industries Ltd.</t>
  </si>
  <si>
    <t>CID003540</t>
  </si>
  <si>
    <t>Nouakchott, Nouakchott Ouest</t>
  </si>
  <si>
    <t>Nouakchott</t>
  </si>
  <si>
    <t>Sancus ZFS (L’Orfebre, SA)</t>
  </si>
  <si>
    <t>CID003529</t>
  </si>
  <si>
    <t>Barranquilla, Atlántico</t>
  </si>
  <si>
    <t>Barranquilla</t>
  </si>
  <si>
    <t>Mentor, Ohio</t>
  </si>
  <si>
    <t>Hamar,Hedmarken</t>
  </si>
  <si>
    <t>Hedmarken</t>
  </si>
  <si>
    <t>Coimbatore,Tamil Nadu</t>
  </si>
  <si>
    <t>Tamil Nadu</t>
  </si>
  <si>
    <t>Haridwar,Uttarakhand</t>
  </si>
  <si>
    <t>Mumbai, Mahārāshtra</t>
  </si>
  <si>
    <t>Okayama, Okayama</t>
  </si>
  <si>
    <t>R/S</t>
  </si>
  <si>
    <t>Due diligence results pending | Recycled/Scrap</t>
  </si>
  <si>
    <t>Kazuno, Akita</t>
  </si>
  <si>
    <t>C.I Metales Procesados Industriales SAS</t>
  </si>
  <si>
    <t>CID003421</t>
  </si>
  <si>
    <t>Cota, Cundinamarca</t>
  </si>
  <si>
    <t>Cota</t>
  </si>
  <si>
    <t>Ahmedab,Gujarat</t>
  </si>
  <si>
    <t>Gujarat</t>
  </si>
  <si>
    <t>Cochin,Kerala</t>
  </si>
  <si>
    <t>Sharjah,Ash Shāriqah</t>
  </si>
  <si>
    <t>Not disclosed per LBMA | Due diligence results pending | -2146826246</t>
  </si>
  <si>
    <t>Fairfield,Ohio</t>
  </si>
  <si>
    <t>DRC or an adjoining country (Covered Countries), Myanmar, Cambodia, Malaysia, Kazakhstan, Portugal, Austria, Mongolia, Luxembourg, Republic Of Korea, Guyana, Brazil, Chile, Laos, Ecuador, Colombia, Argentina, Hungary, Japan, India, Canada, Belgium, Namibi | United States, Canada, Argentina, Austria, Belgium, Brazil, Cambodia, Chile, Colombia, Ecuador, Guyana, Hungary, India, Japan, Kazakhstan, Korea, Luxembourg, Malaysia, Mongolia, Myanmar, Portugal, Australia, Switzerland, China, Djibouti, Egypt, Estonia, E | -2146826246</t>
  </si>
  <si>
    <t>Pyeongtaek-si, Gyeonggi-do</t>
  </si>
  <si>
    <t>LR, R/S</t>
  </si>
  <si>
    <t>Republic Of Korea | Korea</t>
  </si>
  <si>
    <t>Accra, Accra</t>
  </si>
  <si>
    <t>Entebbe,Wakiso</t>
  </si>
  <si>
    <t>Uganda | -2146826246</t>
  </si>
  <si>
    <t>Vilnius,Vilnius</t>
  </si>
  <si>
    <t>Lithuania | -2146826246</t>
  </si>
  <si>
    <t>Arezzo, Toscana</t>
  </si>
  <si>
    <t>See aggregated data below for RJC mined gold</t>
  </si>
  <si>
    <t>Italy, USA, China | Italy, United States, China, Recycled/Scrap</t>
  </si>
  <si>
    <t>Mejillones, Antofagasta</t>
  </si>
  <si>
    <t>DRC or an adjoining country (Covered Countries), Argentina, USA, Japan, Zambia, Switzerland, Canada, China, Australia, Chile, Peru, Germany, Indonesia | Chile, China, Japan, United States, Australia, Canada, Peru, Argentina, Germany, Indonesia, Switzerland, Zambia</t>
  </si>
  <si>
    <t>Gunsan-si, Jeollabuk-do</t>
  </si>
  <si>
    <t>Myanmar, Cambodia, Malaysia, Kazakhstan, Portugal, Mongolia, Austria, Luxembourg, Guyana, Republic Of Korea, Brazil, Chile, Laos, Colombia, Ecuador, Argentina, Hungary, Japan, India, Canada, Belgium, Namibia, China, Peru, Germany, Ethiopia, Russia, Singap | Recycled/Scrap, Korea, Chile, China, Peru, Argentina, Canada, Germany, Japan, Austria, Belgium, Brazil, Cambodia, Colombia, Ecuador, Ethiopia, Guyana, Hungary, India, Kazakhstan, Luxembourg, Malaysia, Mongolia, Myanmar, Namibia, Portugal, Australia, Indon</t>
  </si>
  <si>
    <t>New Delhi,Delhi</t>
  </si>
  <si>
    <t>Warwick,Rhode Island</t>
  </si>
  <si>
    <t>China, USA | United States, China | -2146826246</t>
  </si>
  <si>
    <t>Pforzheim,Baden-Württemberg</t>
  </si>
  <si>
    <t>Canada, Germany | Germany, Canada | -2146826246</t>
  </si>
  <si>
    <t>KYSHTYM COPPER-ELECTROLYTIC PLANT ZAO</t>
  </si>
  <si>
    <t>Kyshtym,Chelyabinskaya oblast'</t>
  </si>
  <si>
    <t>Russia, Saudi Arabia | Saudi Arabia | -2146826246</t>
  </si>
  <si>
    <t>Bangalore, Karnataka</t>
  </si>
  <si>
    <t>Karnataka</t>
  </si>
  <si>
    <t>Belgium, Canada, Philippines, Japan, China, Brazil, Malaysia, Bolivia, Peru, Germany, India, Recycled/Scrap | Recycled/Scrap, India, Germany, Belgium, Brazil, China, Canada, Japan, Malaysia, Peru, Philippines</t>
  </si>
  <si>
    <t>Melaka, Malaysia</t>
  </si>
  <si>
    <t>Malaysia</t>
  </si>
  <si>
    <t>Netherlands, Philippines, China, Thailand, Recycled/Scrap, Germany, Malaysia, New Zealand, Russia | Recycled/Scrap, Malaysia, China, Germany, Philippines, Netherlands, New Zealand, Thailand | -2146826246</t>
  </si>
  <si>
    <t>Parwanoo,Himachal Pradesh</t>
  </si>
  <si>
    <t>Himachal Pradesh</t>
  </si>
  <si>
    <t>India, Indonesia, Recycled/Scrap | Recycled/Scrap, India, Indonesia | -2146826246</t>
  </si>
  <si>
    <t>Ahmedabad,Gujarat</t>
  </si>
  <si>
    <t>Myanmar, Cambodia, Malaysia, Kazakhstan, Portugal, Mongolia, Austria, Luxembourg, Guyana, Brazil, Republic Of Korea, Chile, Laos, Ecuador, Argentina, Hungary, Japan, India, Canada, Belgium, Namibia, China, Peru, Ethiopia, Germany, Russia, Vietnam, USA, Eg | Recycled/Scrap, India, Japan, China, Argentina, Austria, Belgium, Brazil, Cambodia, Canada, Chile, Ecuador, Ethiopia, Germany, Guyana, Hungary, Kazakhstan, Korea, Luxembourg, Malaysia, Mongolia, Myanmar, Namibia, Peru, Portugal, United States, Australia, | -2146826246</t>
  </si>
  <si>
    <t>Johannesburg, Gauteng</t>
  </si>
  <si>
    <t>Recycled/Scrap, Republic Of Korea, South Africa | Recycled/Scrap, South Africa, Korea | -2146826246</t>
  </si>
  <si>
    <t>Vienna, Wien</t>
  </si>
  <si>
    <t>See aggregated data below for RJC Sourcing</t>
  </si>
  <si>
    <t>Austria, Indonesia, China, Japan, Recycled/Scrap, Peru, Colombia, Mongolia, Italy | Recycled/Scrap, Austria, Indonesia, Japan, China, Colombia, Mongolia, Peru, Italy, American Samoa</t>
  </si>
  <si>
    <t>Pforzeim, Baden-Wurttemberg</t>
  </si>
  <si>
    <t>Germany, Switzerland, Recycled/Scrap | Recycled/Scrap, Germany, Switzerland</t>
  </si>
  <si>
    <t>See aggregated data below for LBMA Good Delivery Sourcing and RJC Sourcing</t>
  </si>
  <si>
    <t>Italy, Recycled/Scrap, China, Philippines, Malaysia, Canada, Mongolia, Austria, Mozambique, Mexico, South Africa, USA, Australia, Germany | Recycled/Scrap, Italy, United States, Canada, China, Australia, Mexico, Germany, Austria, Malaysia, Mongolia, Mozambique, Philippines, South Africa</t>
  </si>
  <si>
    <t>Pero, Lombardia</t>
  </si>
  <si>
    <t>Due diligence results pending</t>
  </si>
  <si>
    <t>Andorra la Vella, Andorra la Vella</t>
  </si>
  <si>
    <t>HR, CC, R/S</t>
  </si>
  <si>
    <t>China, Myanmar, Cambodia, Malaysia, Kazakhstan, Portugal, Austria, Mongolia, Luxembourg, Guyana, Brazil, Republic Of Korea, Chile, Laos, Colombia, Ecuador, Argentina, Hungary, Japan, India, Canada, Belgium, Namibia, Peru, Germany, Ethiopia, Russia, Singap | Brazil, Colombia, Malaysia, Mongolia, Myanmar, Portugal, Japan, Canada, Argentina, Austria, Chile, Ecuador, India, Belgium, Cambodia, Guyana, Hungary, Kazakhstan, Korea, Luxembourg, Namibia, China, Ethiopia, Peru, Germany, France, Ireland, Madagascar, Nig | See aggregated data below for LBMA Good Delivery Sourcing</t>
  </si>
  <si>
    <t>Paris, Île-de-France</t>
  </si>
  <si>
    <t>Canada, China, Japan, Bolivia, USA, France, Recycled/Scrap, Russia | Recycled/Scrap, France, United States, Canada, China, Japan</t>
  </si>
  <si>
    <t>Fairless Hills,Pennsylvania</t>
  </si>
  <si>
    <t>China, Japan, USA, Recycled/Scrap | Recycled/Scrap, United States, China, Japan | -2146826246</t>
  </si>
  <si>
    <t>Astana, Almaty</t>
  </si>
  <si>
    <t>See aggregated data below for LBMA Good Delivery Sourcing</t>
  </si>
  <si>
    <t>Austria, Kazakhstan | Kazakhstan, Austria</t>
  </si>
  <si>
    <t>Sao Paolo, São Paulo</t>
  </si>
  <si>
    <t>Brazil, China, Japan, Myanmar, Cambodia, Malaysia, Kazakhstan, Portugal, Mongolia, Austria, Luxembourg, Guyana, Republic Of Korea, Chile, Laos, Colombia, Ecuador, Argentina, Hungary, India, Canada, Belgium, Namibia, Peru, Germany, Ethiopia, Russia, Singap | Recycled/Scrap, Brazil, Germany, Canada, Guyana, Peru, Chile, Colombia, Ecuador, China, Argentina, Austria, Ethiopia, India, Japan, Malaysia, Mongolia, Namibia, Portugal, Belgium, Cambodia, Hungary, Kazakhstan, Korea, Luxembourg, Myanmar, United States, A | See aggregated data below for LBMA Good Delivery Sourcing</t>
  </si>
  <si>
    <t>Gangnam, Seoul-teukbyeolsi</t>
  </si>
  <si>
    <t>Gangnam</t>
  </si>
  <si>
    <t>Japan, Australia, Republic Of Korea | Korea, Japan, Australia</t>
  </si>
  <si>
    <t>Mumbai,Maharashtra</t>
  </si>
  <si>
    <t>Maharashtra</t>
  </si>
  <si>
    <t>Belgium, Vietnam | Belgium | -2146826246</t>
  </si>
  <si>
    <t>Fujairah,Al Fujayrah</t>
  </si>
  <si>
    <t>Moerdijk, Noord-Brabant</t>
  </si>
  <si>
    <t>Netherlands, China, Philippines, Thailand, Canada, Japan, Bolivia, Recycled/Scrap, Russia | Recycled/Scrap, Netherlands, China, Canada, Japan, Philippines, Thailand | See aggregated data below for LBMA Good Delivery Sourcing</t>
  </si>
  <si>
    <t>Capolona, Toscana</t>
  </si>
  <si>
    <t>Italy, Recycled/Scrap, China, Japan | Recycled/Scrap, Italy, Japan, China</t>
  </si>
  <si>
    <t>Khartoum,Khartoum</t>
  </si>
  <si>
    <t>China, Sudan | Sudan, China | -2146826246</t>
  </si>
  <si>
    <t>Dubai,Dubayy</t>
  </si>
  <si>
    <t>United Arab Emirates, Japan | -2146826246</t>
  </si>
  <si>
    <t>Dubai, Dubayy</t>
  </si>
  <si>
    <t>LR, HR, CC, R/S</t>
  </si>
  <si>
    <t>United Arab Emirates, China, DRC or an adjoining country (Covered Countries), Recycled/Scrap | Recycled/Scrap, United Arab Emirates, China</t>
  </si>
  <si>
    <t>HR, R/S</t>
  </si>
  <si>
    <t>Recycled/Scrap, Myanmar, Cambodia, Malaysia, Kazakhstan, Portugal, Austria, Mongolia, Luxembourg, Republic Of Korea, Guyana, Brazil, Chile, Laos, Ecuador, Colombia, Argentina, Hungary, Japan, India, Canada, Belgium, Namibia, China, Peru, Germany, Ethiopia | Recycled/Scrap, United Arab Emirates, Guyana, Colombia, Ecuador, Peru, Canada, Chile, China, Brazil, Ethiopia, Myanmar, India, Namibia, Argentina, Austria, Belgium, Cambodia, Germany, Hungary, Japan, Kazakhstan, Korea, Luxembourg, Malaysia, Mongolia, Port</t>
  </si>
  <si>
    <t>Shenzhen, Guangdong</t>
  </si>
  <si>
    <t>Guangdong</t>
  </si>
  <si>
    <t>Not disclosed per LBMA | China | -2146826246</t>
  </si>
  <si>
    <t>Laizhou,Shandong Sheng</t>
  </si>
  <si>
    <t>Dayuan, Taoyuan</t>
  </si>
  <si>
    <t>L1, R/S</t>
  </si>
  <si>
    <t>Myanmar, Cambodia, Malaysia, Kazakhstan, Portugal, Mongolia, Austria, Luxembourg, Guyana, Republic Of Korea, Brazil, Chile, Laos, Ecuador, Colombia, Argentina, Hungary, Japan, India, Canada, Belgium, Namibia, China, Peru, Germany, Ethiopia, Russia, Singap | Recycled/Scrap, China, Chile, Peru, Brazil, Korea, India, Japan, Kazakhstan, Colombia, Canada, Ecuador, Guyana, Malaysia, Mongolia, Myanmar, Portugal, Argentina, Austria, Belgium, Cambodia, Hungary, Luxembourg, Namibia, Ethiopia, Germany, United States, I</t>
  </si>
  <si>
    <t>Msasa,Harare</t>
  </si>
  <si>
    <t>Zimbabwe, USA | Zimbabwe, United States | -2146826246</t>
  </si>
  <si>
    <t>Lubin, Dolnośląskie</t>
  </si>
  <si>
    <t>Chile, Poland, Thailand, Indonesia, Poland, Myanmar, Cambodia, Malaysia, Kazakhstan, Portugal, Mongolia, Austria, Luxembourg, Guyana, Brazil, Republic Of Korea, Laos, Ecuador, Colombia, Argentina, Hungary, Japan, India, Canada, Belgium, Namibia, China, Pe | Chile, Poland, Canada, United States, Guyana, Japan, Germany, Peru, Suriname, Switzerland, Thailand, Argentina, Austria, Belgium, Brazil, Cambodia, Colombia, Ecuador, Hungary, India, Indonesia, Kazakhstan, Korea, Luxembourg, Malaysia, Mongolia, Myanmar, N</t>
  </si>
  <si>
    <t>Mewat, Haryana</t>
  </si>
  <si>
    <t>Haryana</t>
  </si>
  <si>
    <t>USA, India, Australia, Brazil, Zambia, Kenya, Zimbabwe, DRC or an adjoining country (Covered Countries), China, Japan, Recycled/Scrap, Zimbabwe Russia | Recycled/Scrap, India, United States, Brazil, Zimbabwe, Kenya, Japan, Zambia, Australia, China</t>
  </si>
  <si>
    <t>Geib Refining Corporation</t>
  </si>
  <si>
    <t>CID002459</t>
  </si>
  <si>
    <t>Warwick, Rhode Island</t>
  </si>
  <si>
    <t>USA, Recycled/Scrap, Indonesia, China, Switzerland | Recycled/Scrap, United States, China, Indonesia, Switzerland</t>
  </si>
  <si>
    <t>Khwaeng Dok Mai, Krung Thep Maha Nakhon</t>
  </si>
  <si>
    <t>USA, China, Thailand, Peru, Belgium, Indonesia, Recycled/Scrap, Brazil | Recycled/Scrap, Thailand, China, United States, Peru, Brazil, Indonesia, Belgium</t>
  </si>
  <si>
    <t>Guangzhou,Guangdong Sheng</t>
  </si>
  <si>
    <t>China, Brazil, Australia, Peru, Japan, Recycled/Scrap, Russia | Recycled/Scrap, China, Australia, Brazil, Peru, Japan, Taiwan | -2146826246</t>
  </si>
  <si>
    <t>Safina a.s.</t>
  </si>
  <si>
    <t>Vestec, Praha-západ</t>
  </si>
  <si>
    <t>Czech Republic, Recycled/Scrap, Bolivia | Recycled/Scrap | LR, R/S | Czech Republic, Recycled/Scrap, Boliva</t>
  </si>
  <si>
    <t>Onehunga,Auckland</t>
  </si>
  <si>
    <t>New Zealand, USA, Recycled/Scrap, India, Japan | Recycled/Scrap, New Zealand, United States, India, Japan | -2146826246</t>
  </si>
  <si>
    <t>Shanghang, Fujian Sheng</t>
  </si>
  <si>
    <t>Russia, Papua New Guinea, Japan, Malaysia, Bolivia, Canada, Mongolia, Mozambique, China, Brazil, Poland, Australia, Peru, Kyrgyzstan, Indonesia, Recycled/Scrap, Uzbekistan, DRC or an adjoining country (Covered Countries) | Recycled/Scrap, China, Canada, Japan, Mongolia, Brazil, Malaysia, Peru, Australia, Indonesia, Mozambique, Guinea, Kyrgyzstan, Papua New Guinea, Poland, Uzbekistan, Russian Federation, Tajikistan</t>
  </si>
  <si>
    <t>Sanmenxia, Henan Sheng</t>
  </si>
  <si>
    <t>China, Recycled/Scrap, Canada, Mongolia, Mozambique, Philippines, Australia, Thailand, Switzerland, Laos, Germany, Ethiopia, Japan, Indonesia, Russia | Recycled/Scrap, China, Australia, Canada, Ethiopia, Germany, Switzerland, Mozambique, Mongolia, Philippines, Thailand, Indonesia, Japan</t>
  </si>
  <si>
    <t>Sagamihara, Kanagawa</t>
  </si>
  <si>
    <t>Japan, Recycled/Scrap, Brazil, China, Malaysia, Spain, Canada | Recycled/Scrap, Japan, Brazil, Malaysia, China, Spain, Canada</t>
  </si>
  <si>
    <t>Konan, Kochi</t>
  </si>
  <si>
    <t>Canada, Mozambique, USA, China, Japan, Brazil, Australia, Japan, Australia, Germany, Recycled/Scrap, DRC or an adjoining country (Covered Countries), Russia, Mexico, Switzerland, Indonesia | Recycled/Scrap, Japan, Canada, Brazil, United States, Australia, China, Mozambique, Germany, Indonesia, Switzerland, Mexico | L1, R/S</t>
  </si>
  <si>
    <t>Newburn, Western Australia</t>
  </si>
  <si>
    <t>Recycled | See aggregated data below for LBMA Good Delivery Sourcing</t>
  </si>
  <si>
    <t>Papua New Guinea, China, Republic Of Korea, Australia, Chile, Bolivia, Peru, Recycled/Scrap, Australia | Recycled/Scrap, Australia, China, Peru, Korea, Chile, Guinea, Papua New Guinea, Hong Kong | Recycled</t>
  </si>
  <si>
    <t>Balerna, Ticino</t>
  </si>
  <si>
    <t>China, Japan, Australia, Switzerland, Germany, Recycled/Scrap, USA | Recycled/Scrap, Switzerland, Japan, Australia, China, Germany, United States, Hong Kong, Taiwan, Andorra</t>
  </si>
  <si>
    <t>Alden, New York</t>
  </si>
  <si>
    <t>Recycled | LR, R/S</t>
  </si>
  <si>
    <t>Canada, Russia, Belgium, USA, Japan, China, Thailand, Bolivia, Australia, Switzerland, Peru, Indonesia, Recycled/Scrap | Recycled/Scrap, United States, Canada, Australia, Japan, Peru, Belgium, China, Indonesia, Thailand, Switzerland, Russian Federation | Recycled</t>
  </si>
  <si>
    <t>Hoboken, Antwerpen</t>
  </si>
  <si>
    <t>recycled | See aggregated data below for LBMA Good Delivery Sourcing</t>
  </si>
  <si>
    <t>Canada, China, Japan, Bolivia, Belgium, Recycled/Scrap | Recycled/Scrap, Japan, Canada, China, Belgium | recycled</t>
  </si>
  <si>
    <t>Asan, Chungcheongnam-do</t>
  </si>
  <si>
    <t>Russia, China, Republic Of Korea, Brazil, Mexico, Chile, Bolivia, Indonesia, Recycled/Scrap, Switzerland | Recycled/Scrap, Korea, China, Brazil, Indonesia, Chile, Mexico, Switzerland, Russian Federation</t>
  </si>
  <si>
    <t>Tongling,Anhui Sheng</t>
  </si>
  <si>
    <t>China, Recycled/Scrap, Japan, Germany, Vietnam | Recycled/Scrap, China, Japan, Germany | -2146826246</t>
  </si>
  <si>
    <t>Kuki, Saitama</t>
  </si>
  <si>
    <t>recycled | Recycled/Scrap, Canada, China, USA, Japan, Australia, Chile, Peru, Indonesia | Recycled/Scrap, Japan, China, Canada, Australia, United States, Chile, Peru, Indonesia, Hong Kong | Recycled</t>
  </si>
  <si>
    <t>Shandong gold smelting Co., Ltd.</t>
  </si>
  <si>
    <t>Laizhou, Shandong Sheng</t>
  </si>
  <si>
    <t>CHINA | China, Peru, Indonesia, Recycled/Scrap, Japan, Australia, USA | Recycled/Scrap, China, Peru, Indonesia, Japan, Australia, United States</t>
  </si>
  <si>
    <t>Chengdu,Sichuan Sheng</t>
  </si>
  <si>
    <t>Russia, China, Recycled/Scrap, USA, Japan, Mexico, China | Recycled/Scrap, China, United States, Japan, Mexico, Russian Federation | -2146826246</t>
  </si>
  <si>
    <t>Hiratsuka, Kanagawa</t>
  </si>
  <si>
    <t>recycled | Japan, Recycled/Scrap, Singapore, China, USA, Uzbekistan, United Kingdom, Malaysia, Bolivia, Switzerland, Canada, Belgium, Mexico, South Africa, Chile, Australia, Indonesia, Brazil | Recycled/Scrap, Japan, China, Australia, Switzerland, United States, Canada, Uzbekistan, Chile, Belgium, Malaysia, Mexico, Singapore, United Kingdom, Indonesia, South Africa, Brazil, Hong Kong | Recycled</t>
  </si>
  <si>
    <t>Taoyuan,Taoyuan</t>
  </si>
  <si>
    <t>Saijo, Wehime</t>
  </si>
  <si>
    <t>Wehime</t>
  </si>
  <si>
    <t>United States
Chile
Peru
Indonesia
Australia
Japan
recycled | Japan, Australia, Recycled/Scrap, USA, Chile | Recycled/Scrap, Japan, Chile, United States, Australia, Indonesia, Philippines, Peru | Recycled</t>
  </si>
  <si>
    <t>Tainan City, Tainan</t>
  </si>
  <si>
    <t>Recycled/Scrap, China, Myanmar, Cambodia, Malaysia, Kazakhstan, Portugal, Austria, Mongolia, Luxembourg, Brazil, Republic Of Korea, Guyana, Chile, Laos, Colombia, Ecuador, Argentina, Hungary, Japan, India, Canada, Belgium, Namibia, Peru, Germany, Ethiopia | Recycled/Scrap, China, Malaysia, Canada, Chile, Ecuador, Guyana, Peru, Korea, Japan, Brazil, Argentina, Austria, Cambodia, Hungary, Kazakhstan, Luxembourg, Mongolia, Myanmar, Portugal, Belgium, Ethiopia, Germany, India, Namibia, Colombia, United States, A | recycled</t>
  </si>
  <si>
    <t>Shyolkovo, Moskovskaja oblast'</t>
  </si>
  <si>
    <t>Russia, China, Germany, Indonesia, USA, Recycled/Scrap | Recycled/Scrap, Germany, United States, China, Indonesia, Russian Federation, Taiwan | -2146826246</t>
  </si>
  <si>
    <t>Chengdu, Sichuan Sheng</t>
  </si>
  <si>
    <t>China, Recycled/Scrap | Recycled/Scrap, China</t>
  </si>
  <si>
    <t>Zhaoyuan, Shandong Sheng</t>
  </si>
  <si>
    <t>See aggregated data below for LBMA Good Delivery Sourcing | 招远市河东金矿、招远市金翅岭金矿</t>
  </si>
  <si>
    <t>CHINA | USA, China, Japan, Recycled/Scrap | Recycled/Scrap, China, Japan, United States | China</t>
  </si>
  <si>
    <t>China, Russia, Spain, Indonesia | China, Spain, Indonesia, Russian Federation | -2146826246</t>
  </si>
  <si>
    <t>Madrid, Madrid, Comunidad de</t>
  </si>
  <si>
    <t>Myanmar, Cambodia, Malaysia, Kazakhstan, Portugal, Austria, Mongolia, Luxembourg, Guyana, Republic Of Korea, Brazil, Chile, Laos, Ecuador, Colombia, Argentina, Hungary, Japan, India, Canada, Belgium, Namibia, China, Peru, Germany, Ethiopia, Russia, Singap | Recycled/Scrap, Spain, Netherlands, China, Argentina, Chile, Indonesia, Switzerland, Singapore, Ethiopia, Canada, Brazil, Portugal, Germany, Japan, Mongolia, India, Austria, Belgium, Cambodia, Colombia, Ecuador, Guyana, Hungary, Kazakhstan, Korea, Luxembo</t>
  </si>
  <si>
    <t>SAMWON METALS Corp.</t>
  </si>
  <si>
    <t>Changwon,Gyeongsangnam-do</t>
  </si>
  <si>
    <t>Canada, Sweden, China, Republic Of Korea, Australia, Recycled/Scrap, Indonesia | Recycled/Scrap, Korea, China, Canada, Australia, Sweden, Indonesia, Hong Kong | -2146826246</t>
  </si>
  <si>
    <t>Namdong, Incheon-gwangyeoksi</t>
  </si>
  <si>
    <t>Republic Of Korea, Recycled/Scrap, USA, Japan, Rwanda, Sierra Leone, Bolivia, Thailand, India, Canada, Mozambique, Namibia, China, Brazil, Zimbabwe, Australia, Germany, Ethiopia, Indonesia | Recycled/Scrap, Korea, Canada, China, Japan, United States, Australia, Brazil, Ethiopia, Germany, India, Mozambique, Namibia, Rwanda, Sierra Leone, Thailand, Zimbabwe, Indonesia</t>
  </si>
  <si>
    <t>Williston,North Dakota</t>
  </si>
  <si>
    <t>Canada, Russia, USA, China, Brazil, Mexico, Portugal, Recycled/Scrap, Thailand | Recycled/Scrap, United States, Canada, China, Brazil, Portugal, Mexico, Thailand, Russian Federation | -2146826246</t>
  </si>
  <si>
    <t>Ottawa, Ontario</t>
  </si>
  <si>
    <t>Canada, Recycled/Scrap, Suriname, Guyana, Switzerland, Chile, Germany, Peru, USA, Mexico, Japan, China | Recycled/Scrap, Canada, Guyana, Suriname, United States, Peru, Japan, Chile, Germany, Switzerland, Mexico, China | Canada recycled</t>
  </si>
  <si>
    <t>Germiston, Gauteng</t>
  </si>
  <si>
    <t>DRC or an adjoining country (Covered Countries), Papua New Guinea, China, Philippines, Tanzania, Ghana, Malaysia, Switzerland, Canada, Austria, Mozambique, Mali, Namibia, South Africa, USA, Australia, Germany, Belgium, Brazil, Recycled/Scrap | Recycled/Scrap, South Africa, Switzerland, China, Canada, Austria, Malaysia, Philippines, Australia, Germany, Namibia, Ghana, Guinea, Mali, Mozambique, Papua New Guinea, Tanzania, United States, Belgium, Brazil, Hong Kong, Democratic Republic of Congo, Je</t>
  </si>
  <si>
    <t>La Chaux-de-Fonds, Neuchâtel</t>
  </si>
  <si>
    <t>Canada, Mozambique, Australia, Switzerland, Peru, Recycled/Scrap, Brazil, Ethiopia, China, Russia, Indonesia | Recycled/Scrap, Switzerland, Australia, Canada, Mozambique, Peru, Indonesia, China, Brazil, Ethiopia</t>
  </si>
  <si>
    <t>Jakarta, Jakarta Raya</t>
  </si>
  <si>
    <t>Canada, Brazil, Malaysia, Australia, Bolivia, Chile, Switzerland, Peru, Ethiopia, Germany, Indonesia, Recycled/Scrap, China, Russia, South Africa, USA | Recycled/Scrap, Indonesia, Brazil, Canada, Peru, Chile, Germany, Malaysia, Ethiopia, Switzerland, Australia, China, United States, South Africa</t>
  </si>
  <si>
    <t>Kasimov, Ryazanskaya oblast'</t>
  </si>
  <si>
    <t>Russia, Japan, Rwanda, Sierra Leone, Bolivia, India, Canada, Mozambique, Namibia, China, Brazil, Zimbabwe, Australia, Ethiopia, Germany, Indonesia, Recycled/Scrap | Recycled/Scrap, China, India, Australia, Brazil, Canada, Ethiopia, Germany, Japan, Mozambique, Namibia, Rwanda, Sierra Leone, Zimbabwe, Indonesia, Russian Federation | -2146826246</t>
  </si>
  <si>
    <t>Penglai,Shandong Sheng</t>
  </si>
  <si>
    <t>China, Recycled/Scrap | Recycled/Scrap, China | -2146826246</t>
  </si>
  <si>
    <t>Geneva, Genève</t>
  </si>
  <si>
    <t>Brazil, Canada, China, USA, Japan, Mexico, South Africa, United Kingdom, Australia, Switzerland, Indonesia, DRC or an adjoining country (Covered Countries), Recycled/Scrap, Dominican Republic, Ecuador, Ghana, Guinea, Liberia, Malaysia, Mauritania, Peru, A | Recycled/Scrap, Switzerland, Australia, United States, Canada, Indonesia, China, Japan, United Kingdom, South Africa, Mexico, Peru, Brazil, Ecuador, Malaysia, Ghana, Dominica, Dominican Republic, Guinea, Liberia, Mauritania, Argentina, Tanzania, Belgium, | SWITZERLAND</t>
  </si>
  <si>
    <t>Krasnoyarsk, Krasnoyarskiy kray</t>
  </si>
  <si>
    <t>Brazil, Indonesia, Russia, Recycled/Scrap, Germany, Japan | Recycled/Scrap, Japan, Germany, Brazil, Indonesia, Russian Federation | -2146826246</t>
  </si>
  <si>
    <t>Nara-shi, Nara</t>
  </si>
  <si>
    <t>Recycled/Scrap, Myanmar, Cambodia, Malaysia, Kazakhstan, Portugal, Austria, Mongolia, Luxembourg, Republic Of Korea, Guyana, Brazil, Chile, Laos, Colombia, Ecuador, Argentina, Hungary, Japan, India, Canada, Belgium, Namibia, China, South Africa, Peru, Ger | Recycled/Scrap, Japan, Austria, Argentina, Brazil, Cambodia, Canada, Chile, Colombia, Ecuador, Guyana, Hungary, India, Kazakhstan, Korea, Luxembourg, Malaysia, Mongolia, Myanmar, Portugal, Belgium, Namibia, Peru, South Africa, Germany, Ethiopia, China, Au | See aggregated data below for LBMA Good Delivery Sourcing</t>
  </si>
  <si>
    <t>Noda, Chiba</t>
  </si>
  <si>
    <t>recycled | Japan, Recycled/Scrap, China, DRC or an adjoining country (Covered Countries), Niger, Rwanda, Malaysia, Bolivia, Thailand, Switzerland, Portugal, Spain, Canada, Mozambique, Brazil, Australia, Chile, Nigeria, Peru, Indonesia | Recycled/Scrap, Japan, Australia, Brazil, Canada, China, Malaysia, Niger, Nigeria, Portugal, Spain, Switzerland, Thailand, Chile, Indonesia, Peru, Mozambique, Rwanda, Democratic Republic of Congo | Recycled</t>
  </si>
  <si>
    <t>Navoi, Navoiy</t>
  </si>
  <si>
    <t>Recycled/Scrap, USA, China, Uzbekistan, Indonesia | Recycled/Scrap, Uzbekistan, China, Indonesia, United States</t>
  </si>
  <si>
    <t>Bahçelievler, İstanbul</t>
  </si>
  <si>
    <t>Saudi Arabia, Turkey, United Arab Emirates, China, Recycled/Scrap, Kazakhstan, Japan, Russia | Recycled/Scrap, Turkey, Saudi Arabia, United Arab Emirates, Japan, China, Kazakhstan</t>
  </si>
  <si>
    <t>Obrucheva, Moskva</t>
  </si>
  <si>
    <t>Russia, China, Bolivia, Recycled/Scrap, Chile, Australia, Canada, Japan, Peru, Chile, Indonesia, New Zealand, Saudi Arabia, Turkey, United Arab Emirates, USA, Uzbekistan | Recycled/Scrap, China, Peru, Australia, Canada, Chile, Japan, Indonesia, United States, New Zealand, Turkey, Uzbekistan, Saudi Arabia, United Arab Emirates, Russian Federation | -2146826246</t>
  </si>
  <si>
    <t>Takehara, Hiroshima</t>
  </si>
  <si>
    <t>Chile
Australia, recycled | Recycled/Scrap, Japan, Australia, Canada | Recycled/Scrap, Australia, Japan, Canada, China, Chile | Recycled</t>
  </si>
  <si>
    <t>Tokyo, Tokyo</t>
  </si>
  <si>
    <t>Canada
Chile
Indonesia
recycled | Australia, Peru, Russia, United Kingdom, Japan, Canada, Recycled/Scrap, Mexico, China, Papua New Guinea, Indonesia, Mongolia, Austria, Mozambique, DRC or an adjoining country (Covered Countries), Chile | Recycled/Scrap, Canada, Japan, Chile, Guinea, Papua New Guinea, Austria, Mongolia, Mozambique, United Kingdom, Indonesia, Australia, Peru, Mexico, China, Hong Kong, Congo | Recycled</t>
  </si>
  <si>
    <t>Torreon, Coahuila de Zaragoza</t>
  </si>
  <si>
    <t>Recycled and scrap sources | See aggregated data below for LBMA Good Delivery Sourcing</t>
  </si>
  <si>
    <t>China, Mexico, USA, Recycled/Scrap, Japan, Canada, Peru | Recycled/Scrap, Mexico, China, Japan, Peru, Canada, United States | Recycled and scrap sources</t>
  </si>
  <si>
    <t>North Attleboro, Massachusetts</t>
  </si>
  <si>
    <t>Mining, recyled and scrap sources | See aggregated data below for LBMA Good Delivery Sourcing and RJC Sourcing | recycled</t>
  </si>
  <si>
    <t>Canada, USA, China, Mexico, Switzerland, Brazil, Recycled/Scrap, Japan, Boliva | Recycled/Scrap, United States, Canada, Switzerland, China, Mexico, Japan, Brazil | Canada, USA, China, Mexico, Switzerland, Brazil, Recycled/Scrap, Japan, Bolivia | US recycled | recycled</t>
  </si>
  <si>
    <t>Marin, Neuchâtel</t>
  </si>
  <si>
    <t>scrap | Ivory Coast, Recycled/Scrap, Switzerland, Canada, Sweden, China, Belgium, USA, United Kingdom, Indonesia, Angola, Burundi, DRC or an adjoining country (Covered Countries), Rwanda, England, Peru | Recycled/Scrap, Switzerland, Canada, United States, China, Indonesia, Belgium, Sweden, United Kingdom, Rwanda, Burundi, Angola, Peru, Hong Kong, Andorra | Mining, recyled and scrap sources | recycled</t>
  </si>
  <si>
    <t>Singapore, South West</t>
  </si>
  <si>
    <t>Singapore, China, Switzerland, Recycled/Scrap, Peru, Indonesia | Recycled/Scrap, Singapore, Switzerland, China, Peru, Indonesia | Mining, recyled and scrap sources | recycled</t>
  </si>
  <si>
    <t>Kwai Chung, Hong Kong SAR</t>
  </si>
  <si>
    <t>China, USA, Japan, Australia, Peru, Switzerland, Recycled/Scrap, Switzerland | Recycled/Scrap, China, Peru, Japan, Switzerland, Australia, United States, Hong Kong | Mining, recyled and scrap sources | recycled</t>
  </si>
  <si>
    <t>Suzhou Industrial Park, Jiangsu Sheng</t>
  </si>
  <si>
    <t>Suzhou Industrial Park</t>
  </si>
  <si>
    <t>Mining, recyled and scrap sources | See aggregated data below for LBMA Good Delivery Sourcing and RJC Sourcing</t>
  </si>
  <si>
    <t>China, South Africa, Recycled/Scrap, Brazil, Switzerland, Singapore, Indonesia, Russia | Recycled/Scrap, China, South Africa, Switzerland, Singapore, Brazil, Indonesia | Mining, recyled and scrap sources</t>
  </si>
  <si>
    <t>Iruma, Saitama</t>
  </si>
  <si>
    <t>recycled | Japan, Australia, Canada, Recycled/Scrap, China, USA, United Kingdom, Indonesia, Myanmar, Cambodia, Malaysia, Kazakhstan, Portugal, Austria, Mongolia, Luxembourg, Republic Of Korea, Guyana, Brazil, Chile, Laos, Ecuador, Colombia, Argentina, Hungary, India | Recycled/Scrap, Japan, Canada, Australia, United States, China, Indonesia, United Kingdom, India, Argentina, Austria, Brazil, Cambodia, Chile, Colombia, Ecuador, Guyana, Hungary, Kazakhstan, Korea, Luxembourg, Malaysia, Mongolia, Myanmar, Portugal, Belgiu | Recycled</t>
  </si>
  <si>
    <t>Buffalo, New York</t>
  </si>
  <si>
    <t>Recycled/Scrap, USA, Myanmar, Cambodia, Malaysia, Kazakhstan, Portugal, Austria, Mongolia, Luxembourg, Brazil, Guyana, Republic Of Korea, Chile, Laos, Colombia, Ecuador, Argentina, Hungary, Japan, India, Canada, Belgium, Namibia, China, Peru, Ethiopia, Ge | Recycled/Scrap, United States, Brazil, Chile, Canada, Malaysia, Myanmar, Colombia, Mongolia, India, Argentina, Austria, Ecuador, Belgium, Cambodia, Hungary, Korea, Luxembourg, Guyana, Kazakhstan, Ethiopia, Peru, Namibia, Germany, Portugal, Japan, China, I | See aggregated data below for LBMA Good Delivery Sourcing</t>
  </si>
  <si>
    <t>Luoyang,Henan Sheng</t>
  </si>
  <si>
    <t>China, Republic Of Korea, China, Recycled/Scrap, USA | Recycled/Scrap, China, Korea, United States | -2146826246</t>
  </si>
  <si>
    <t>LS-NIKKO Copper Inc.</t>
  </si>
  <si>
    <t>Onsan-eup, Ulsan-gwangyeoksi</t>
  </si>
  <si>
    <t>Republic Of Korea, Brazil, Chile, Recycled/Scrap, Singapore, China, USA, Japan, Kazakhstan, India, Mexico, South Africa, Australia, Peru, Indonesia, DRC or an adjoining country (Covered Countries), Thailand | Recycled/Scrap, Brazil, Korea, Chile, India, Kazakhstan, Japan, South Africa, Australia, Indonesia, China, United States, Peru, Singapore, Mexico, Thailand, Hong Kong | Recycled</t>
  </si>
  <si>
    <t>Lingbao,Henan Sheng</t>
  </si>
  <si>
    <t>Recycled/Scrap, China, China | Recycled/Scrap, China | -2146826246</t>
  </si>
  <si>
    <t>Recycled/Scrap, China, Saudi Arabia, China | Recycled/Scrap, China, Saudi Arabia | -2146826246</t>
  </si>
  <si>
    <t>Riyadh,Ar Riyāḑ</t>
  </si>
  <si>
    <t>Saudi Arabia, Canada, Japan, China, Australia, Egypt, Recycled/Scrap | Recycled/Scrap, Saudi Arabia, Australia, Canada, Japan, China, Egypt, Taiwan | -2146826246</t>
  </si>
  <si>
    <t>Bishkek, Chüy</t>
  </si>
  <si>
    <t>Brazil, Australia, Kyrgyzstan, Republic Of Korea, Recycled/Scrap, Japan | Recycled/Scrap, Kyrgyzstan, Australia, Brazil, Japan, Korea | -2146826246</t>
  </si>
  <si>
    <t>Sayama, Saitama</t>
  </si>
  <si>
    <t>recycled | Myanmar, Cambodia, Malaysia, Kazakhstan, Portugal, Mongolia, Austria, Luxembourg, Republic Of Korea, Brazil, Guyana, Chile, Laos, Ecuador, Colombia, Argentina, Hungary, Japan, India, Canada, Belgium, Namibia, China, Peru, Germany, Ethiopia, Russia, Vietna | Japan, Canada, Peru, Chile, Colombia, Ecuador, Guyana, Brazil, Malaysia, Mongolia, Myanmar, Portugal, Argentina, Austria, India, Cambodia, Hungary, Kazakhstan, Korea, Luxembourg, Ethiopia, Belgium, Germany, Namibia, China, United States, Australia, Thaila | Recycled | LR, HR, R/S; Additionally, see aggregated data below for LBMA Good Delivery Sourcing</t>
  </si>
  <si>
    <t>Magna, Utah</t>
  </si>
  <si>
    <t>USA, China, DRC or an adjoining country (Covered Countries), Myanmar, Cambodia, Malaysia, Kazakhstan, Portugal, Mongolia, Austria, Luxembourg, Brazil, Republic Of Korea, Guyana, Chile, Laos, Colombia, Ecuador, Argentina, Hungary, Japan, India, Canada, Bel | Recycled/Scrap, United States, China, Portugal, Japan, Kazakhstan, Canada, Chile, Guyana, Argentina, Austria, Brazil, Cambodia, Colombia, Ecuador, Hungary, India, Korea, Luxembourg, Malaysia, Mongolia, Myanmar, Indonesia, Turkey, Germany, Peru, Switzerlan</t>
  </si>
  <si>
    <t>Ust-Kamenogorsk, Qaraghandy oblysy</t>
  </si>
  <si>
    <t>Japan, China, Australia, Kazakhstan, Peru, Switzerland, Brazil, Chile, Recycled/Scrap, Indonesia, Republic Of Korea, Singapore | Recycled/Scrap, Kazakhstan, Australia, Japan, China, Peru, Switzerland, Indonesia, Chile, Singapore, Brazil, Korea, Taiwan</t>
  </si>
  <si>
    <t>Balkhash,Qaraghandy oblysy</t>
  </si>
  <si>
    <t>Kazakhstan, Kyrgyzstan, China, Japan | Kazakhstan, Kyrgyzstan, Japan, China | -2146826246</t>
  </si>
  <si>
    <t>Ōita, Ôita</t>
  </si>
  <si>
    <t>ōita</t>
  </si>
  <si>
    <t>Chile
Australia
recycled | Recycled/Scrap, Japan, Australia, Canada, Chile, Saudi Arabia, China, United Kingdom, Indonesia, England | Recycled/Scrap, Chile, Australia, Indonesia, Saudi Arabia, United Kingdom, Japan, China, Canada, Taiwan | Recycled</t>
  </si>
  <si>
    <t>Verkhnyaya Pyshma, Sverdlovskaya oblast'</t>
  </si>
  <si>
    <t>Russia, China, Brazil, Australia, Switzerland, Recycled/Scrap | Recycled/Scrap, Australia, Brazil, Switzerland, China, Russian Federation, Taiwan | -2146826246</t>
  </si>
  <si>
    <t>Verkhnyaya Pyshma,Sverdlovskaya oblast'</t>
  </si>
  <si>
    <t>Canada, Russia, Japan, Australia, Recycled/Scrap | Recycled/Scrap, Australia, Japan, Canada, Russian Federation | -2146826246</t>
  </si>
  <si>
    <t>Brampton, Ontario</t>
  </si>
  <si>
    <t>Canada, Recycled/Scrap, Japan, Australia, Italy, China, Peru | Recycled/Scrap, Canada, Japan, Australia, Peru, China, Italy</t>
  </si>
  <si>
    <t>Salt Lake City, Utah</t>
  </si>
  <si>
    <t>Recycled/Scrap, USA, Canada, China, Uzbekistan, Bermuda, Malaysia, Australia, Chile, Peru, Indonesia | Recycled/Scrap, United States, Canada, Peru, Australia, China, Chile, Indonesia, Malaysia, Bermuda, Uzbekistan, Hong Kong | Recycled</t>
  </si>
  <si>
    <t>Guixi City, Jiangxi Sheng</t>
  </si>
  <si>
    <t>USA, China, Japan, Rwanda, Chile, Peru, Albania, Afghanistan, Canada, Recycled/Scrap, Spain | Recycled/Scrap, China, Japan, Chile, United States, Rwanda, Peru, Canada, Afghanistan, Albania, Spain</t>
  </si>
  <si>
    <t>Osaka, Osaka</t>
  </si>
  <si>
    <t>Japan, Italy, Mexico, Australia, Recycled/Scrap, Republic Of Korea | Recycled/Scrap, Japan, Australia, Italy, Mexico, Korea</t>
  </si>
  <si>
    <t>Kuyumcukent, İstanbul</t>
  </si>
  <si>
    <t>Turkey, Canada</t>
  </si>
  <si>
    <t>Soka, Saitama</t>
  </si>
  <si>
    <t>recycled | Recycled/Scrap, Canada, USA, China, Japan, Australia, Peru, Chile, Indonesia, Mineral Sourcing L1 Japan | Recycled/Scrap, Japan, Australia, Canada, China, United States, Indonesia, Chile, Peru | Recycled</t>
  </si>
  <si>
    <t>Hohhot, Nei Mongol Zizhiqu</t>
  </si>
  <si>
    <t>Recycled/Scrap, Indonesia, China, Mongolia, Mexico, Republic Of Korea, Canada | Recycled/Scrap, China, Mongolia, Mexico, Korea, Canada, Indonesia</t>
  </si>
  <si>
    <t>HwaSeong CJ Co., Ltd.</t>
  </si>
  <si>
    <t>Danwon,Gyeonggi-do</t>
  </si>
  <si>
    <t>Canada, China, USA, Japan, Republic Of Korea, Mexico, Australia, Recycled/Scrap, South Africa | Recycled/Scrap, Korea, China, Australia, United States, Canada, Japan, Mexico, South Africa, Hong Kong | -2146826246</t>
  </si>
  <si>
    <t>Chenzhou,Hunan Sheng</t>
  </si>
  <si>
    <t>China, USA, Japan, Rwanda, Chile | China, Chile, Japan, United States, Rwanda | -2146826246</t>
  </si>
  <si>
    <t>Yuanling,Hunan Sheng</t>
  </si>
  <si>
    <t>China | China, Australia, Canada, Mozambique, Switzerland | -2146826246</t>
  </si>
  <si>
    <t>Hanau, Hessen</t>
  </si>
  <si>
    <t>Chile, Germany, Recycled/Scrap, Switzerland, USA, China, India, South Africa, Malaysia, Peru, Australia, Boliva | Recycled/Scrap, Germany, United States, China, Malaysia, Switzerland, Australia, Peru, Chile, South Africa, India, Hong Kong, Turkey, Saudi Arabia, United Arab Emirates, Jersey | Chile, Germany, Recycled/Scrap, Switzerland, USA, China, India, South Africa, Malaysia, Peru, Australia, Bolivia | Recycled | LR, R/S; Additionally, see aggregated data below for LBMA Good Delivery Sourcing</t>
  </si>
  <si>
    <t>Fanling, Hong Kong SAR</t>
  </si>
  <si>
    <t>Recycled | See aggregated data below for LBMA Good Delivery Sourcing and RJC Sourcing</t>
  </si>
  <si>
    <t>Singapore, Vietnam, China, Japan, Philippines, Malaysia, Thailand, Switzerland, Canada, Mozambique, South Africa, Australia, France, Laos, Peru, Germany, USA, Chile, Recycled/Scrap, Mongolia, Austria, Mexico | Recycled/Scrap, China, Philippines, Thailand, Switzerland, Japan, Australia, South Africa, Germany, Canada, Malaysia, Singapore, Peru, France, Mozambique, United States, Austria, Mongolia, Chile, Mexico, Hong Kong, Viet Nam, Taiwan | Recycled | CHINA</t>
  </si>
  <si>
    <t>Pforzheim, Baden-Württemberg</t>
  </si>
  <si>
    <t>Germany, Recycled/Scrap, China, Philippines, Malaysia, Canada, Austria, Mongolia, Mozambique, Mexico, South Africa, USA, Australia, Turkey, Italy | Recycled/Scrap, Germany, Austria, China, Australia, Canada, Malaysia, Mexico, Mongolia, Philippines, Mozambique, South Africa, Italy, Turkey, United States, Hong Kong, Jersey | recycled</t>
  </si>
  <si>
    <t>Seo-gu, Incheon-gwangyeoksi</t>
  </si>
  <si>
    <t>Canada, China, USA, Japan, United Kingdom, Mexico, South Africa, Australia, Switzerland, Indonesia, Republic Of Korea, Recycled/Scrap | Recycled/Scrap, Korea, Canada, Japan, United States, China, Indonesia, Australia, Switzerland, United Kingdom, Mexico, South Africa | L1</t>
  </si>
  <si>
    <t>Fuyang,Zhejiang Sheng</t>
  </si>
  <si>
    <t>China, Republic Of Korea, Japan, Recycled/Scrap | Recycled/Scrap, China, Korea, Japan | -2146826246</t>
  </si>
  <si>
    <t>Zhaoyuan,Shandong Sheng</t>
  </si>
  <si>
    <t>China, Recycled/Scrap, Indonesia, Uzbekistan | Recycled/Scrap, China, Indonesia, Uzbekistan | -2146826246</t>
  </si>
  <si>
    <t>Lanzhou,Gansu Sheng</t>
  </si>
  <si>
    <t>China | -2146826246</t>
  </si>
  <si>
    <t>Novosibirsk, Novosibirskaya oblast'</t>
  </si>
  <si>
    <t>Canada, Russia, China, Philippines, Brazil, Italy, Malaysia, Bolivia, Switzerland, Peru, Recycled/Scrap, Indonesia, Japan, Austria, USA, DRC or an adjoining country (Covered Countries) | Recycled/Scrap, Brazil, Peru, Canada, Malaysia, China, Switzerland, Italy, Philippines, Austria, Japan, Indonesia, United States, Russian Federation | -2146826246</t>
  </si>
  <si>
    <t>Honjo, Saitama</t>
  </si>
  <si>
    <t>Recycled | R/S</t>
  </si>
  <si>
    <t>Recycled/Scrap | Recycled/Scrap, Japan, Canada, Indonesia, Australia, Mozambique | Recycled | See aggregated data below for LBMA Good Delivery Sourcing</t>
  </si>
  <si>
    <t>Kosaka, Akita</t>
  </si>
  <si>
    <t>Canada
recycled | Recycled/Scrap, Canada, Japan, Australia, Mexico | Recycled/Scrap, Canada, Japan, Australia, Mexico, Germany, Chile, Peru, Guyana, Colombia, Ecuador, Brazil, Argentina, India, Austria, Malaysia, Mongolia, Portugal, Cambodia, Hungary, Kazakhstan, Korea, Luxembourg, Myanmar, Namibia, Ethiopia, Belgium, Taiw | Recycled | See aggregated data below for LBMA Good Delivery Sourcing</t>
  </si>
  <si>
    <t>Gimpo, Gyeonggi-do</t>
  </si>
  <si>
    <t>Recycled/Scrap, Republic Of Korea, Brazil, South Africa, Australia, Republic Of Korea, Japan, Kazakhstan, China, Russia, Saudi Arabia | Recycled/Scrap, Korea, Australia, Brazil, South Africa, Japan, China, Kazakhstan, Saudi Arabia</t>
  </si>
  <si>
    <t>Huangshi,Hubei Sheng</t>
  </si>
  <si>
    <t>Singapore, China, USA, Japan, Uzbekistan, United Kingdom, Malaysia, Switzerland, Canada, Belgium, Mexico, South Africa, Australia, Chile | China, Australia, Belgium, Canada, Chile, Japan, Malaysia, Mexico, Singapore, South Africa, Switzerland, United Kingdom, United States, Uzbekistan, Hong Kong | -2146826246</t>
  </si>
  <si>
    <t>Chiyoda, Tokyo</t>
  </si>
  <si>
    <t>Canada, USA, Japan, Australia, Chile, Peru, Indonesia, Recycled/Scrap, Germany, Turkey | Recycled/Scrap, Japan, Australia, Indonesia, Peru, Canada, United States, Chile, Germany, Turkey | See aggregated data below for LBMA Good Delivery Sourcing</t>
  </si>
  <si>
    <t>Italy, Recycled/Scrap, Turkey, Mexico, Australia, Switzerland, Republic Of Korea | Recycled/Scrap, Italy, Australia, Mexico, Turkey, Switzerland, Korea</t>
  </si>
  <si>
    <t>Kunming,Yunnan Sheng</t>
  </si>
  <si>
    <t>Canada, China, Chile, Recycled/Scrap, Japan | Recycled/Scrap, China, Canada, Chile, Japan | -2146826246</t>
  </si>
  <si>
    <t>Biel-Bienne, Bern</t>
  </si>
  <si>
    <t>Recycled/Scrap, Australia, Switzerland, Germany, Canada | Recycled/Scrap, Switzerland, Australia, Germany, Canada</t>
  </si>
  <si>
    <t>Montréal, Quebec</t>
  </si>
  <si>
    <t>Recycled/Scrap, Canada, Chile, Peru, USA, China, Japan, Brazil, Australia, Germany, DRC or an adjoining country (Covered Countries), Argentina, Zambia, Switzerland, Indonesia, Bolivia | Recycled/Scrap, Canada, Japan, Peru, Indonesia, Germany, China, Chile, Australia, Switzerland, Zambia, Argentina, United States, Brazil, Democratic Republic of Congo</t>
  </si>
  <si>
    <t>Nacozari,Sonora</t>
  </si>
  <si>
    <t>Chile, Mexico, China, Japan, Republic Of Korea, Bolivia,  Germany, Recycled/Scrap | Recycled/Scrap, Mexico, China, Japan, Korea, Chile, Germany | -2146826246</t>
  </si>
  <si>
    <t>Canada, Sweden, Ireland, China, Finland, Indonesia, Recycled/Scrap, Japan, Brazil, Chile, Australia, Peru, Germany, Mexico, Thailand, Russia | Recycled/Scrap, Germany, Chile, China, Australia, Japan, Brazil, Peru, Sweden, Canada, Thailand, Finland, Indonesia, Ireland, Mexico</t>
  </si>
  <si>
    <t>Boliden AB</t>
  </si>
  <si>
    <t>Skelleftehamn, Västerbottens län [SE-24]</t>
  </si>
  <si>
    <t>Sweden, Canada, Philippines, China, Brazil, Italy, Indonesia, Ireland, Finland, Recycled/Scrap, Japan | Recycled/Scrap, Sweden, China, Finland, Ireland, Indonesia, Canada, Philippines, Japan, Brazil, Italy</t>
  </si>
  <si>
    <t>Quezon City, Rizal</t>
  </si>
  <si>
    <t>Italy, Philippines, Canada, China, Brazil, Indonesia, Recycled/Scrap, USA, Japan, Germany, India, Peru | Recycled/Scrap, Philippines, Italy, China, Brazil, Canada, Indonesia, Germany, Japan, United States, India, Peru</t>
  </si>
  <si>
    <t>Hamburg, Hamburg</t>
  </si>
  <si>
    <t>Canada, China, USA, Uzbekistan, Malaysia, Bermuda, Australia, Chile, Peru, Indonesia, Brazil, Bulgaria, Recycled/Scrap, Japan, Germany, Germany, Turkey, Republic Of Korea, DRC or an adjoining country (Covered Countries) | Recycled/Scrap, Germany, Brazil, China, Canada, Indonesia, United States, Japan, Peru, Chile, Bulgaria, Turkey, Australia, Bermuda, Malaysia, Uzbekistan, Korea, Hong Kong</t>
  </si>
  <si>
    <t>Istanbul,İstanbul</t>
  </si>
  <si>
    <t>Turkey, Brazil, Australia, Indonesia, Republic Of Korea, Recycled/Scrap, USA | Recycled/Scrap, Turkey, Brazil, Australia, Indonesia, Korea, United States | -2146826246</t>
  </si>
  <si>
    <t>Tamura, Fukushima</t>
  </si>
  <si>
    <t>scrap | Recycled/Scrap, Japan, DRC or an adjoining country (Covered Countries), Myanmar, Angola, Cambodia, Malaysia, Kazakhstan, Portugal, Mongolia, Austria, Mozambique, Luxembourg, Brazil, Guyana, Republic Of Korea, Chile, Laos, Ecuador, Colombia, Argentina, Hun | Recycled/Scrap, Japan, Mozambique, Niger, Nigeria, Burundi, Armenia, Mexico, Rwanda, Argentina, Austria, Brazil, Cambodia, Chile, Colombia, Ecuador, Guyana, Kazakhstan, Korea, Luxembourg, Malaysia, Mongolia, Myanmar, Portugal, Hungary, India, Belgium, Can | Recycled</t>
  </si>
  <si>
    <t>Kobe, Hyogo, Japan</t>
  </si>
  <si>
    <t>Kobe</t>
  </si>
  <si>
    <t>recycled | Recycled/Scrap, Brazil, United Kingdom, Indonesia, Papua New Guinea, Australia, Argentina, Chile, Peru, Canada, Japan, USA, China, Germany, Switzerland | Recycled/Scrap, Japan, Canada, Chile, Guinea, Papua New Guinea, Argentina, Peru, Brazil, Germany, Australia, Indonesia, China, United States, United Kingdom, Switzerland, India, Austria, Cambodia, Colombia, Guyana, Kazakhstan, Korea, Luxembourg, Malaysia, | Recycled</t>
  </si>
  <si>
    <t>Mendrisio, Ticino</t>
  </si>
  <si>
    <t>Recycled/Scrap, Switzerland, Argentina, Singapore, China, Philippines, South Africa, Chile, Indonesia, Canada, Philippines, Mongolia, Sweden | Recycled/Scrap, Switzerland, China, Indonesia, South Africa, Argentina, Chile, Philippines, Singapore, Sweden, Canada, Mongolia, Hong Kong | Recycled</t>
  </si>
  <si>
    <t>Nova Lima, Minas Gerais</t>
  </si>
  <si>
    <t>Brazil, South Africa, Australia, Recycled/Scrap, Bolivia, Uzbekistan | Recycled/Scrap, Brazil, Australia, South Africa, Uzbekistan</t>
  </si>
  <si>
    <t>Almalyk, Toshkent</t>
  </si>
  <si>
    <t>DRC or an adjoining country (Covered Countries), Argentina, USA, Japan, Uzbekistan, Zambia, Switzerland, Canada, China, Brazil, Mexico, Chile, Australia, Peru, Germany, Brazil, Recycled/Scrap, Indonesia, Philippines | Recycled/Scrap, Uzbekistan, Germany, Brazil, China, Japan, Argentina, Australia, Canada, Chile, Mexico, Peru, Switzerland, United States, Zambia, Philippines, Indonesia, Democratic Republic of Congo</t>
  </si>
  <si>
    <t>Recycled | See aggregated data below for RJC Sourcing</t>
  </si>
  <si>
    <t>Recycled/Scrap, Germany, Laos, Nigeria, Sierra Leone, Thailand, Philippines, Brazil, Japan, China | Recycled/Scrap, Germany, Japan, Thailand, China, Philippines, Brazil, Niger, Nigeria, Sierra Leone | Recycled</t>
  </si>
  <si>
    <t>Fuchu, Tokyo</t>
  </si>
  <si>
    <t>recycled | Recycled/Scrap, Japan, Canada, Bolivia, Peru, Portugal, Spain, DRC or an adjoining country (Covered Countries), Australia, Indonesia | Recycled/Scrap, Japan, Canada, Peru, Portugal, Spain, Indonesia, Australia | Recycled</t>
  </si>
  <si>
    <t>USA, Peru, Indonesia, Brazil, China, Recycled/Scrap, Chile | Recycled/Scrap, United States, Indonesia, Peru, Brazil, China, Chile</t>
  </si>
  <si>
    <t>Yecheng City, Jiangsu Sheng</t>
  </si>
  <si>
    <t>Yecheng City</t>
  </si>
  <si>
    <t>Yi Chun City, Jiangxi Sheng</t>
  </si>
  <si>
    <t>Yi Chun City</t>
  </si>
  <si>
    <t>LR, HR</t>
  </si>
  <si>
    <t>China, DRC or an adjoining country (Covered Countries), Recycled/Scrap, USA, Australia, Mozambique, Canada | Recycled/Scrap, China, Australia, United States, Mozambique, Canada | Includes Covered Countries</t>
  </si>
  <si>
    <t>São João Del Rei, Minas gerais</t>
  </si>
  <si>
    <t>São João Del Rei</t>
  </si>
  <si>
    <t>Due diligence results pending | Brazil | Excludes Covered Countries | LR</t>
  </si>
  <si>
    <t>Aizuwakamatsu, Fukushima</t>
  </si>
  <si>
    <t>R/S, LR</t>
  </si>
  <si>
    <t>Argentina, Australia, Austria, Belgium, Bolivia, Brazil, Cambodia, Canada, Chile, China, Colombia, Ivory Coast, Czech Republic, Djibouti, Ecuador, Egypt, Estonia, Ethiopia, France, Germany, Guyana, Hungary, India, Indonesia, Ireland, Israel, Japan, Kazakh | Recycled/Scrap, Japan, Brazil, Guyana, Austria, Malaysia, Chile, Cambodia, Colombia, Argentina, Ecuador, Hungary, Mongolia, Portugal, Kazakhstan, Myanmar, Angola, Korea, Luxembourg, Zambia, South Sudan, Sudan, Tanzania, Australia, China, India, Ethiopia, | Includes Covered Countries | DRC, CC, HR, LR, R/S</t>
  </si>
  <si>
    <t>Boyertown, Pennsylvania</t>
  </si>
  <si>
    <t>DRC, CC, HR, LR, R/S</t>
  </si>
  <si>
    <t>Mozambique, Australia, Canada, Recycled/Scrap, DRC or an adjoining country (Covered Countries), Myanmar, Angola, Cambodia, Malaysia, Kazakhstan, Portugal, Mongolia, Austria, Luxembourg, Guyana, Brazil, Republic Of Korea, Chile, Laos, Ecuador, Colombia, Ar | Recycled/Scrap, Burundi, Rwanda, United States, Mozambique, Australia, Brazil, Canada, Japan, Guyana, Malaysia, Portugal, Austria, Myanmar, Colombia, Mongolia, Cambodia, Chile, Kazakhstan, Korea, Luxembourg, Angola, Ecuador, Argentina, Tanzania, Zambia, H | Includes Covered Countries | LR, CC, DRC, HR, R/S</t>
  </si>
  <si>
    <t>Laufenburg, Baden-Württemberg</t>
  </si>
  <si>
    <t>LR, CC, DRC, HR, R/S</t>
  </si>
  <si>
    <t>Australia, Bolivia, Brazil, Burundi, DRC or an adjoining country (Covered Countries), Ethiopia, India, Mozambique, Namibia, Nigeria, Rwanda, Sierra Leone, Zimbabwe, Recycled/Scrap | Recycled/Scrap, Brazil, India, Mozambique, Australia, Ethiopia, Namibia, Niger, Nigeria, Zimbabwe, Sierra Leone, Burundi, Rwanda, Democratic Republic of Congo, Germany, Guyana, Malaysia, Japan, Austria, Mongolia, Colombia, Myanmar, Portugal, Congo, Cambod | Includes Covered Countries | LR, CC, DRC, HR, R/S</t>
  </si>
  <si>
    <t>Mito, Ibaraki</t>
  </si>
  <si>
    <t>Mito</t>
  </si>
  <si>
    <t>Australia, Bolivia, Brazil, Burundi, DRC or an adjoining country (Covered Countries), Ethiopia, India, Mozambique, Namibia, Nigeria, Rwanda, Sierra Leone, Zimbabwe,  Recycled/Scrap, Germany, China, Japan, Canada | Recycled/Scrap, Brazil, India, Namibia, Zimbabwe, Ethiopia, Sierra Leone, Australia, Mozambique, Rwanda, Japan, Germany, Canada, China, Niger, Nigeria, Burundi, Democratic Republic of Congo | Includes Covered Countries | LR, CC, DRC, R/S</t>
  </si>
  <si>
    <t>Newton, Massachusetts</t>
  </si>
  <si>
    <t>Australia, Bolivia, Brazil, Ethiopia, India, Mozambique, Namibia, Rwanda, Sierra Leone, Zimbabwe, Burundi, Namibia, Nigeria, DRC or an adjoining country (Covered Countries), USA, Japan, Canada, China, Germany, Recycled/Scrap, Russia, Australia, Slovenia | Recycled/Scrap, Brazil, India, Zimbabwe, Ethiopia, Sierra Leone, Niger, Nigeria, Mozambique, Rwanda, United States, Burundi, Australia, Namibia, China, Germany, Japan, Canada, Slovenia, Congo, Democratic Republic of Congo | Includes Covered Countries | LR, HR, CC, DRC, R/S</t>
  </si>
  <si>
    <t>H.C. Starck Hermsdorf GmbH</t>
  </si>
  <si>
    <t>CID002547</t>
  </si>
  <si>
    <t>Hermsdorf, Thüringen</t>
  </si>
  <si>
    <t>Hermsdorf</t>
  </si>
  <si>
    <t>Australia, Bolivia, Brazil, Burundi, DRC or an adjoining country (Covered Countries), Ethiopia, India, Mozambique, Namibia, Nigeria, Rwanda, Sierra Leone, Zimbabwe, Myanmar, Cambodia, Malaysia, Kazakhstan, Portugal, Austria, Mongolia, Luxembourg, Republic | Recycled/Scrap, Germany, Brazil, India, Namibia, Mozambique, Japan, Malaysia, Austria, Guyana, Portugal, Cambodia, Kazakhstan, Myanmar, Chile, Mongolia, Argentina, Luxembourg, Colombia, Ecuador, Korea, Canada, Hungary, Belgium, Australia, China, Niger, Ni | Includes Covered Countries | HR, DRC, CC, LR, R/S</t>
  </si>
  <si>
    <t>Goslar, Niedersachsen</t>
  </si>
  <si>
    <t>DRC or an adjoining country (Covered Countries), Myanmar, Angola, Cambodia, Malaysia, Kazakhstan, Portugal, Mongolia, Austria, Mozambique, Luxembourg, Brazil, Republic Of Korea, Guyana, Chile, Laos, Colombia, Ecuador, Argentina, Hungary, South Sudan, Japa | Recycled/Scrap, Germany, Burundi, Rwanda, Brazil, Japan, Mozambique, Australia, Ethiopia, India, Namibia, Sierra Leone, Niger, Nigeria, Zimbabwe, Thailand, Guyana, Malaysia, United States, Austria, Colombia, Ecuador, Mongolia, Myanmar, Portugal, Cambodia, | Includes Covered Countries | LR, CC, DRC, HR, R/S</t>
  </si>
  <si>
    <t>Map Ta Phut, Rayong</t>
  </si>
  <si>
    <t>LR, CC, DRC, HR</t>
  </si>
  <si>
    <t>Australia, Bolivia, Brazil, Burundi, DRC or an adjoining country (Covered Countries), Ethiopia, India, Mozambique, Namibia, Nigeria, Rwanda, Sierra Leone, Zimbabwe, Myanmar, Angola, Cambodia, Malaysia, Kazakhstan, Portugal, Austria, Mongolia, Luxembourg, | Recycled/Scrap, Brazil, Mozambique, Ethiopia, Australia, Rwanda, India, Namibia, Niger, Nigeria, Sierra Leone, Burundi, Zimbabwe, Thailand, United States, Malaysia, Chile, Portugal, Myanmar, Cambodia, Kazakhstan, Angola, Guyana, Austria, Mongolia, Luxembo | Includes Covered Countries | LR, HR, CC, DRC, R/S</t>
  </si>
  <si>
    <t>Matamoros, Tamaulipas</t>
  </si>
  <si>
    <t>DRC or an adjoining country (Covered Countries), Myanmar, Angola, Cambodia, Malaysia, Kazakhstan, Portugal, Mongolia, Austria, Mozambique, Mali, Luxembourg, Guyana, Republic Of Korea, Brazil, Chile, Laos, Colombia, Ecuador, Argentina, South Sudan, Hungary | Recycled/Scrap, Mexico, Brazil, Malaysia, Guyana, Austria, Mongolia, Mozambique, Portugal, Angola, Cambodia, Chile, Kazakhstan, Korea, Luxembourg, Mali, Myanmar, Argentina, Colombia, Ecuador, South Sudan, Sudan, Japan, Hungary, Tanzania, Australia, Zambia | Includes Covered Countries | LR, CC, DRC, HR, R/S</t>
  </si>
  <si>
    <t>Fengxin, Jiangxi Sheng</t>
  </si>
  <si>
    <t>China, DRC or an adjoining country (Covered Countries), Recycled/Scrap, USA, Russia | Recycled/Scrap, China, United States | Excludes Covered Countries | LR, HR, DRC, R/S</t>
  </si>
  <si>
    <t>XinXing HaoRong Electronic Material Co., Ltd.</t>
  </si>
  <si>
    <t>CID002508</t>
  </si>
  <si>
    <t>YunFu City, Guangdong Sheng</t>
  </si>
  <si>
    <t>YunFu City</t>
  </si>
  <si>
    <t>China, DRC or an adjoining country (Covered Countries), Kazakhstan, Recycled/Scrap | Recycled/Scrap, China, Kazakhstan | Includes Covered Countries | LR, HR, DRC, R/S, L1</t>
  </si>
  <si>
    <t>Jiujiang, Jiangxi Sheng</t>
  </si>
  <si>
    <t>DRC or an adjoining country (Covered Countries), Myanmar, Cambodia, Malaysia, Kazakhstan, Portugal, Mongolia, Austria, Luxembourg, Brazil, Guyana, Republic Of Korea, Chile, Laos, Ecuador, Colombia, Argentina, Hungary, Japan, India, Canada, Belgium, Namibi | Recycled/Scrap, China, Brazil, Malaysia, Japan, Guyana, India, Argentina, Austria, Mongolia, Portugal, Colombia, Cambodia, Chile, Ecuador, Hungary, Kazakhstan, Canada, Belgium, Namibia, Korea, Luxembourg, Myanmar, Peru, Ethiopia, Germany, Spain, Niger, Ni | Excludes Covered Countries</t>
  </si>
  <si>
    <t>Zhuzhou, Hunan Sheng</t>
  </si>
  <si>
    <t>DRC or an adjoining country (Covered Countries), Recycled/Scrap, Myanmar, Cambodia, Malaysia, Kazakhstan, Portugal, Mongolia, Austria, Luxembourg, Republic Of Korea, Brazil, Guyana, Chile, Laos, Ecuador, Colombia, Argentina, Hungary, Japan, India, Canada, | Recycled/Scrap, China, Canada, Japan, Brazil, India, Guyana, Malaysia, Ethiopia, Argentina, Austria, Mongolia, Portugal, Cambodia, Chile, Colombia, Ecuador, Hungary, Kazakhstan, Korea, Luxembourg, Myanmar, Namibia, Belgium, Germany, Peru, Australia, Unite | Includes Covered Countries | L1, L2, CC, DRC, R/S</t>
  </si>
  <si>
    <t>Gastonia, North Carolina</t>
  </si>
  <si>
    <t>Gastonia</t>
  </si>
  <si>
    <t>DRC or an adjoining country (Covered Countries), Recycled/Scrap, Indonesia, USA, China, Brazil, Ethiopia | Recycled/Scrap, United States, China, Brazil, Ethiopia, Indonesia | Includes Covered Countries | LR, CC, DRC, R/S, HR</t>
  </si>
  <si>
    <t>Hengyang, Hunan Sheng</t>
  </si>
  <si>
    <t>LR, HR, CC, DRC</t>
  </si>
  <si>
    <t>Myanmar, Cambodia, Malaysia, Kazakhstan, Portugal, Austria, Mongolia, Luxembourg, Guyana, Republic Of Korea, Brazil, Chile, Laos, Ecuador, Colombia, Argentina, Hungary, Japan, India, Canada, Belgium, Namibia, China, Peru, Germany, Ethiopia, Russia, Singap | Recycled/Scrap, China, Canada, Japan, Brazil, India, Guyana, Malaysia, Ethiopia, Namibia, Germany, Argentina, Austria, Myanmar, Colombia, Ecuador, Mongolia, Portugal, Korea, Cambodia, Chile, Hungary, Kazakhstan, Luxembourg, Peru, Belgium, Indonesia, Unite | Includes Covered Countries</t>
  </si>
  <si>
    <t>LR, HR, CC, DRC, R/S</t>
  </si>
  <si>
    <t>Kazakhstan, DRC or an adjoining country (Covered Countries), Recycled/Scrap, Russia, Zimbabwe, Rwanda, USA, Japan, DRC or an adjoining country (Covered Countries), Australia, Myanmar, Angola, Cambodia, Malaysia, Portugal, Austria, Mongolia, Mozambique, Lu | Recycled/Scrap, Kazakhstan, Japan, Rwanda, Brazil, Zimbabwe, Australia, Ethiopia, India, Sierra Leone, United States, Mozambique, Malaysia, Guyana, Austria, Myanmar, Mongolia, Portugal, Cambodia, Korea, Chile, Luxembourg, Argentina, Colombia, Ecuador, Hun | Includes Covered Countries | LR</t>
  </si>
  <si>
    <t>Croydon, Pennsylvania</t>
  </si>
  <si>
    <t>Myanmar, Cambodia, Malaysia, Kazakhstan, Portugal, Mongolia, Austria, Luxembourg, Republic Of Korea, Brazil, Guyana, Chile, Laos, Colombia, Ecuador, Argentina, Hungary, Japan, India, Canada, Belgium, Namibia, China, Peru, Germany, Ethiopia, Russia, Vietna | Recycled/Scrap, United States, Brazil, Guyana, India, Malaysia, Namibia, Ethiopia, Japan, Canada, Korea, Argentina, Austria, Mongolia, Portugal, Kazakhstan, Belgium, Cambodia, Chile, Colombia, Ecuador, Hungary, Luxembourg, Myanmar, Germany, Peru, China, A | Excludes Covered Countries | LR, HR, DRC, CC, R/S</t>
  </si>
  <si>
    <t>Harima, Hyogo</t>
  </si>
  <si>
    <t>Myanmar, Angola, Cambodia, Malaysia, Kazakhstan, Portugal, Mongolia, Austria, Luxembourg, Republic Of Korea, Brazil, Guyana, Chile, Laos, Ecuador, Colombia, Argentina, South Sudan, Hungary, Japan, Tanzania, Zambia, DRC or an adjoining country (Covered Cou | Recycled/Scrap, Japan, Burundi, Rwanda, Korea, Canada, Brazil, Guyana, Malaysia, Myanmar, Tanzania, Zambia, Angola, Argentina, Austria, Cambodia, Chile, Colombia, Ecuador, Hungary, Kazakhstan, Luxembourg, Mongolia, Portugal, South Sudan, Sudan, India, Chi | Includes Covered Countries</t>
  </si>
  <si>
    <t>Solikamsk, Permskiy kray</t>
  </si>
  <si>
    <t>L1</t>
  </si>
  <si>
    <t>Myanmar, Cambodia, Malaysia, Kazakhstan, Portugal, Mongolia, Austria, Luxembourg, Guyana, Republic Of Korea, Brazil, Chile, Laos, Colombia, Ecuador, Argentina, Hungary, Japan, India, Canada, Belgium, Namibia, China, Peru, Germany, Ethiopia, Russia, Vietna | Recycled/Scrap, Brazil, Malaysia, India, Guyana, Namibia, Ethiopia, Japan, Colombia, Mongolia, Myanmar, Portugal, Canada, Argentina, Austria, Chile, Ecuador, Belgium, Cambodia, Hungary, Kazakhstan, Korea, Luxembourg, Peru, Germany, China, Thailand, Austra | Excludes Covered Countries</t>
  </si>
  <si>
    <t>Russia, China, Peru, Indonesia, Recycled/Scrap, DRC or an adjoining country (Covered Countries) | Recycled/Scrap, China, Peru, Indonesia, Russian Federation | Includes Covered Countries | L1, LR, HR, CC, DRC, R/S</t>
  </si>
  <si>
    <t>QuantumClean</t>
  </si>
  <si>
    <t>CID001508</t>
  </si>
  <si>
    <t>Carrollton, Texas</t>
  </si>
  <si>
    <t>Carrollton</t>
  </si>
  <si>
    <t>Australia, Bolivia, Brazil, Ethiopia, India, Mozambique, Namibia, Rwanda, Sierra Leone, Zimbabwe, Recycled/Scrap, DRC or an adjoining country (Covered Countries), Burundi, Nigeria, China, USA, Poland | Recycled/Scrap, United States, Brazil, Poland, China, Australia, Ethiopia, India, Mozambique, Namibia, Rwanda, Sierra Leone, Zimbabwe, Burundi, Niger, Nigeria | Recycled/Scrap Only</t>
  </si>
  <si>
    <t>Shizuishan City, Ningxia Huizi Zizhiqu</t>
  </si>
  <si>
    <t>LR, HR, DRC, CC</t>
  </si>
  <si>
    <t>Ethiopia, Brazil, China, Recycled/Scrap, Australia, Rwanda, Australia, DRC or an adjoining country (Covered Countries), Myanmar, Angola, Cambodia, Malaysia, Kazakhstan, Portugal, Austria, Mongolia, Mozambique, Luxembourg, Republic Of Korea, Guyana, Chile, | Recycled/Scrap, China, Brazil, Rwanda, Ethiopia, Burundi, Malaysia, Japan, Guyana, Australia, Austria, Mongolia, Portugal, Mozambique, Myanmar, Chile, Angola, Cambodia, Kazakhstan, Korea, Luxembourg, Colombia, Ecuador, Argentina, Tanzania, Zambia, Hungary | Includes Covered Countries | DRC, CC, HR, LR, R/S</t>
  </si>
  <si>
    <t>Sillamäe, Ida-Virumaa</t>
  </si>
  <si>
    <t>DRC or an adjoining country (Covered Countries), Recycled/Scrap, Myanmar, Cambodia, Malaysia, Kazakhstan, Portugal, Mongolia, Austria, Luxembourg, Guyana, Brazil, Republic Of Korea, Chile, Laos, Colombia, Ecuador, Argentina, Hungary, Japan, India, Canada, | Recycled/Scrap, Estonia, Brazil, India, Guyana, Malaysia, Japan, Canada, Argentina, Austria, Myanmar, Colombia, Ecuador, Mongolia, Portugal, Cambodia, Chile, Hungary, Kazakhstan, Korea, Luxembourg, Ethiopia, Namibia, Belgium, Germany, Peru, United States, | Includes Covered Countries | LR, R/S</t>
  </si>
  <si>
    <t>Omuta, Fukuoka</t>
  </si>
  <si>
    <t>Recycled/Scrap, Japan, Australia, Chile, China, United States, Canada, South Africa, Brazil, Malaysia, United Kingdom | Excludes Covered Countries | Recycled/Scrap, Japan, Australia, Canada, Chile, South Africa, DRC or an adjoining country (Covered Countries), USA, China | L1</t>
  </si>
  <si>
    <t>Presidente Figueiredo, Amazonas</t>
  </si>
  <si>
    <t>Brazil | Excludes Covered Countries</t>
  </si>
  <si>
    <t>District Raigad, Maharashtra</t>
  </si>
  <si>
    <t>Myanmar, Cambodia, Malaysia, Kazakhstan, Portugal, Austria, Mongolia, Mozambique, Luxembourg, Guyana, Republic Of Korea, Brazil, USA, Chile, Laos, Ecuador, Colombia, Argentina, Hungary, Japan, India, Canada, Belgium, Namibia, China, South Africa, Peru, Et | Recycled/Scrap, India, Brazil, Namibia, Mozambique, Japan, Canada, Malaysia, Guyana, Colombia, Mongolia, Myanmar, Portugal, Argentina, Austria, Chile, Ecuador, Cambodia, Hungary, Kazakhstan, Korea, Luxembourg, Belgium, South Africa, China, Ethiopia, Sierr | Excludes Covered Countries | L1</t>
  </si>
  <si>
    <t>São João del Rei, Minas Gerais</t>
  </si>
  <si>
    <t>Recycled/Scrap, DRC or an adjoining country (Covered Countries), Myanmar, Cambodia, Malaysia, Kazakhstan, Portugal, Austria, Mongolia, Luxembourg, Guyana, Brazil, Republic Of Korea, Chile, Laos, Ecuador, Colombia, Argentina, Hungary, Japan, India, Canada, | Recycled/Scrap, Brazil, Malaysia, Guyana, India, Japan, Canada, Argentina, Austria, Mongolia, Portugal, Chile, Cambodia, Colombia, Ecuador, Hungary, Kazakhstan, Korea, Luxembourg, Myanmar, Namibia, Belgium, Peru, Ethiopia, Germany, China, Australia, Unite | Excludes Covered Countries</t>
  </si>
  <si>
    <t>DRC, HR, R/S, LR</t>
  </si>
  <si>
    <t>DRC or an adjoining country (Covered Countries), Myanmar, Angola, Cambodia, Malaysia, Kazakhstan, Portugal, Mongolia, Austria, Mozambique, Luxembourg, Republic Of Korea, Brazil, Guyana, Chile, Laos, Ecuador, Colombia, Argentina, South Sudan, Hungary, Japa | Recycled/Scrap, China, Brazil, Malaysia, Mozambique, Guyana, Mongolia, Myanmar, Portugal, Korea, Austria, Chile, Cambodia, Kazakhstan, Luxembourg, Angola, Colombia, Argentina, Ecuador, Hungary, South Sudan, Sudan, Japan, Tanzania, Zambia, Rwanda, Burundi, | Excludes Covered Countries | LR, HR, CC, R/S, DRC</t>
  </si>
  <si>
    <t>DRC or an adjoining country (Covered Countries), Myanmar, Angola, Cambodia, Malaysia, Kazakhstan, Portugal, Austria, Mongolia, Luxembourg, Republic Of Korea, Guyana, Brazil, Chile, Laos, Ecuador, Colombia, Argentina, South Sudan, Hungary, Japan, Tanzania, | Recycled/Scrap, China, Brazil, Guyana, Malaysia, Colombia, Ecuador, Myanmar, Chile, Argentina, Austria, Cambodia, Hungary, Kazakhstan, Korea, Luxembourg, Mongolia, Portugal, Angola, Tanzania, Japan, South Sudan, Sudan, Zambia, Rwanda, Thailand, Ethiopia, | Excludes Covered Countries | L1</t>
  </si>
  <si>
    <t>Yingde, Guangdong Sheng</t>
  </si>
  <si>
    <t>DRC or an adjoining country (Covered Countries), Myanmar, Cambodia, Malaysia, Kazakhstan, Portugal, Mongolia, Austria, Luxembourg, Guyana, Brazil, Republic Of Korea, Chile, Laos, Colombia, Ecuador, Argentina, Hungary, Japan, India, Canada, Belgium, Namibi | Recycled/Scrap, China, Brazil, Japan, Argentina, Chile, Canada, Peru, India, Guyana, Malaysia, Austria, Myanmar, Colombia, Ecuador, Mongolia, Portugal, Korea, Cambodia, Hungary, Kazakhstan, Luxembourg, Belgium, Namibia, Ethiopia, United States, Australia, | Includes Covered Countries</t>
  </si>
  <si>
    <t>Jiangmen, Guangdong Sheng</t>
  </si>
  <si>
    <t>DRC or an adjoining country (Covered Countries), Myanmar, Angola, Cambodia, Malaysia, Kazakhstan, Portugal, Mongolia, Austria, Luxembourg, Guyana, Brazil, Republic Of Korea, Chile, Laos, Colombia, Ecuador, Argentina, Hungary, South Sudan, Japan, Tanzania, | Recycled/Scrap, China, Rwanda, Burundi, Brazil, Guyana, Malaysia, Argentina, Austria, Myanmar, Colombia, Ecuador, Mongolia, Portugal, Cambodia, Chile, Kazakhstan, Korea, Luxembourg, Japan, Hungary, Angola, Tanzania, South Sudan, Sudan, Zambia, United Stat | Includes Covered Countries | LR, CC, DRC, HR, R/S</t>
  </si>
  <si>
    <t>Changsha South Tantalum Niobium Co., Ltd.</t>
  </si>
  <si>
    <t>CID000211</t>
  </si>
  <si>
    <t>Changsha, Hunan Sheng</t>
  </si>
  <si>
    <t>Changsha</t>
  </si>
  <si>
    <t>China, Recycled/Scrap | Recycled/Scrap, China, Brazil, Canada, Australia, Russian Federation, Thailand, Democratic Republic of Congo, Mozambique | Includes Covered Countries | L1, L2, CC, R/S, HR</t>
  </si>
  <si>
    <t>Mogi das Cruzes, São Paulo</t>
  </si>
  <si>
    <t>Toledo, Toledo</t>
  </si>
  <si>
    <t>São José, Santa Catarina</t>
  </si>
  <si>
    <t>Pangkalpinang,Kepulauan Bangka Belitung</t>
  </si>
  <si>
    <t>Gejiu,Yunnan Sheng</t>
  </si>
  <si>
    <t>Jagdalpur, Chhattisgarh</t>
  </si>
  <si>
    <t>Chhattisgarh</t>
  </si>
  <si>
    <t>Gejiu, Yunnan Sheng</t>
  </si>
  <si>
    <t>Due diligence results pending | Recycled/Scrap | -2146826246</t>
  </si>
  <si>
    <t>Kigali, City of Kigali</t>
  </si>
  <si>
    <t>HR, CC</t>
  </si>
  <si>
    <t>PT Rajawali Rimba Perkasa</t>
  </si>
  <si>
    <t>CID003381</t>
  </si>
  <si>
    <t>Tukak Sadai, Bangka Belitung</t>
  </si>
  <si>
    <t>Tukak Sadai</t>
  </si>
  <si>
    <t>Bangka Belitung</t>
  </si>
  <si>
    <t>Dongguan, Guangdong Sheng</t>
  </si>
  <si>
    <t>West Chester, Pennsylvania</t>
  </si>
  <si>
    <t>USA | United States, Recycled/Scrap | LR, CC, HR, DRC, R/S</t>
  </si>
  <si>
    <t>Yangon,Yangon</t>
  </si>
  <si>
    <t>Canada, China, USA, Uzbekistan, Bermuda, Malaysia, Chile, Australia, Peru, Indonesia, Myanmar | Myanmar, Indonesia, Peru, United States, Australia, Bermuda, Canada, Chile, China, Malaysia, Uzbekistan | -2146826246</t>
  </si>
  <si>
    <t>PT Bangka Serumpun</t>
  </si>
  <si>
    <t>CID003205</t>
  </si>
  <si>
    <t>Pangkalpinang, Kepulauan Bangka Belitung</t>
  </si>
  <si>
    <t>Myanmar, Cambodia, Malaysia, Kazakhstan, Portugal, Austria, Mongolia, Luxembourg, Guyana, Brazil, Republic Of Korea, Chile, Laos, Ecuador, Colombia, Argentina, Hungary, Japan, India, Canada, Belgium, Namibia, China, Peru, Ethiopia, Germany, Russia, Singap | India, Indonesia, China, Brazil, Colombia, Ethiopia, Malaysia, Mongolia, Myanmar, Peru, Portugal, Japan, Argentina, Austria, Belgium, Cambodia, Canada, Chile, Ecuador, Germany, Guyana, Hungary, Kazakhstan, Korea, Luxembourg, Namibia, Australia, France, Ir</t>
  </si>
  <si>
    <t>Chifeng, Nei Mongol Zizhiqu</t>
  </si>
  <si>
    <t>China, Recycled/Scrap | Recycled/Scrap, China | Inner Mongolia</t>
  </si>
  <si>
    <t>Chaozhou, Guangdong Sheng</t>
  </si>
  <si>
    <t>China, Recycled/Scrap, DRC or an adjoining country (Covered Countries) | Recycled/Scrap, China</t>
  </si>
  <si>
    <t>Kawasan Perindustrian Bukit Rambai,Melaka</t>
  </si>
  <si>
    <t>Recycled/Scrap | -2146826246</t>
  </si>
  <si>
    <t>PT Menara Cipta Mulia</t>
  </si>
  <si>
    <t>CID002835</t>
  </si>
  <si>
    <t>Mentawak, Kepulauan Bangka Belitung</t>
  </si>
  <si>
    <t>Mentawak</t>
  </si>
  <si>
    <t>Australia, Indonesia, China, Recycled/Scrap | Recycled/Scrap, Indonesia, China, Australia</t>
  </si>
  <si>
    <t>PT Sukses Inti Makmur</t>
  </si>
  <si>
    <t>CID002816</t>
  </si>
  <si>
    <t>Sungai Samak, Kepulauan Bangka Belitung</t>
  </si>
  <si>
    <t>Sungai Samak</t>
  </si>
  <si>
    <t>Berango, Bizkaia</t>
  </si>
  <si>
    <t>Spain, Belgium, Recycled/Scrap, Austria, DRC or an adjoining country (Covered Countries), Myanmar, Angola, Cambodia, Malaysia, Kazakhstan, Portugal, Mongolia, Luxembourg, Guyana, Brazil, Republic Of Korea, Chile, Laos, Colombia, Ecuador, Argentina, South | Recycled/Scrap, Spain, Brazil, Argentina, Malaysia, Portugal, Mongolia, Colombia, Myanmar, Austria, Guyana, Belgium, Korea, Cambodia, Chile, Ecuador, Kazakhstan, Luxembourg, China, Germany, Peru, Thailand, Ireland, Indonesia, Niger, Nigeria, Australia, Zi | LR, R/S</t>
  </si>
  <si>
    <t>Beerse, Antwerpen</t>
  </si>
  <si>
    <t>recycled | LR, R/S</t>
  </si>
  <si>
    <t>recycled | Belgium, DRC or an adjoining country (Covered Countries), Myanmar, Cambodia, Malaysia, Kazakhstan, Portugal, Austria, Mongolia, Luxembourg, Republic Of Korea, Guyana, Brazil, Chile, Laos, Colombia, Ecuador, Argentina, Hungary, Japan, India, Canada, Namibi | Recycled/Scrap, Belgium, Brazil, Japan, Peru, Malaysia, Myanmar, Argentina, Mongolia, Portugal, Colombia, Korea, Cambodia, Kazakhstan, Canada, India, Guyana, Austria, Chile, Ecuador, Hungary, Luxembourg, Spain, Namibia, Ethiopia, Germany, China, Niger, Ni | LR, HR, CC, DRC, R/S</t>
  </si>
  <si>
    <t>Piracicaba,São Paulo</t>
  </si>
  <si>
    <t>Brazil, China | -2146826246</t>
  </si>
  <si>
    <t>Recycled/Scrap, Brazil, Indonesia, India, China, Argentina, Australia, Germany, Colombia, Austria, Canada, Guyana, Ethiopia, Ireland, Belgium, Cambodia, Chile, Ecuador, Egypt, Estonia, France, Hungary, Djibouti, Niger, Nigeria, Zimbabwe, Japan, United Sta | Indonesia, Argentina, Australia, Austria, Belgium, Bolivia, Brazil, Cambodia, Canada, Chile, China, Colombia, Ivory Coast, Czech Republic, Djibouti, Ecuador, Egypt, Estonia, Ethiopia, France, Germany, Guyana, Hungary, India, Ireland, Israel, Japan, Kazakh | LR</t>
  </si>
  <si>
    <t>Quy Hop,Nghệ An</t>
  </si>
  <si>
    <t>Turkey, Vietnam, Brazil, Recycled/Scrap, Vietnam, | Recycled/Scrap, Turkey, Brazil, Viet Nam | -2146826246</t>
  </si>
  <si>
    <t>Batam, Kepulauan Riau</t>
  </si>
  <si>
    <t>Tan Quang,Tuyên Quang</t>
  </si>
  <si>
    <t>Vietnam, Indonesia, Vietnam, | Indonesia, Viet Nam | -2146826246</t>
  </si>
  <si>
    <t>Due diligence results pending | Viet Nam, Estonia | -2146826246</t>
  </si>
  <si>
    <t>Tinh Tuc,Cao Bằng</t>
  </si>
  <si>
    <t>Canada, Vietnam, USA, China, Brazil, Chile, Indonesia, Recycled/Scrap, DRC or an adjoining country (Covered Countries), Malaysia, Vietnam, | Recycled/Scrap, Brazil, Canada, Chile, China, United States, Malaysia, Indonesia, Viet Nam | -2146826246</t>
  </si>
  <si>
    <t>Rosario, Cavite</t>
  </si>
  <si>
    <t>Philippines, Recycled/Scrap, Canada, Japan, China, Brazil, Malaysia, Bolivia, Peru, Thailand | Recycled/Scrap, Philippines, Brazil, Canada, Japan, Malaysia, Peru, China, Thailand | R/S</t>
  </si>
  <si>
    <t>Sungailiat, Kepulauan Bangka Belitung</t>
  </si>
  <si>
    <t>Argentina, Australia, Austria, Belgium, Bolivia, Brazil, Cambodia, Canada, Chile, China, Colombia, Ivory Coast, Czech Republic, Djibouti, Ecuador, Egypt, Estonia, Ethiopia, France, Germany, Guyana, Hungary, India, Indonesia, Ireland, Israel, Japan, Kazakh | Indonesia, India, Argentina, Brazil, Colombia, Germany, Canada, Austria, Guyana, Mongolia, Portugal, Belgium, Cambodia, Chile, Ecuador, Hungary, Ethiopia, Japan, Kazakhstan, Namibia, China, Australia, Ireland, Thailand, Djibouti, Egypt, Estonia, France, N</t>
  </si>
  <si>
    <t>Ariquemes, Rondônia</t>
  </si>
  <si>
    <t>Myanmar, Cambodia, Malaysia, Kazakhstan, Portugal, Austria, Mongolia, Luxembourg, Republic Of Korea, Guyana, Brazil, Chile, Laos, Colombia, Ecuador, Argentina, Hungary, Japan, India, Canada, Belgium, Namibia, China, Peru, Ethiopia, Germany, Russia, Singap | Recycled/Scrap, Brazil, Malaysia, Colombia, Mongolia, Myanmar, Portugal, Argentina, Peru, Germany, India, Austria, Chile, Ecuador, Japan, Belgium, Cambodia, Canada, Guyana, Hungary, Kazakhstan, Korea, Luxembourg, Ethiopia, Namibia, China, Australia, Irela</t>
  </si>
  <si>
    <t>PT Tirus Putra Mandiri</t>
  </si>
  <si>
    <t>CID002478</t>
  </si>
  <si>
    <t>Bogor, Jawa Barat</t>
  </si>
  <si>
    <t>Bogor</t>
  </si>
  <si>
    <t>São João Del Rei, Minas Gerais</t>
  </si>
  <si>
    <t>Argentina, Australia, Austria, Belgium, Bolivia, Brazil, Cambodia, Canada, Chile, China, Colombia, Ivory Coast, Czech Republic, Djibouti, Ecuador, Egypt, Estonia, Ethiopia, France, Germany, Guyana, Hungary, India, Indonesia, Ireland, Israel, Japan, Kazakh | Recycled/Scrap, Brazil, Mongolia, Colombia, Argentina, Malaysia, Canada, Peru, Myanmar, Portugal, Austria, Chile, Ecuador, Cambodia, Guyana, Hungary, India, Belgium, Japan, Kazakhstan, Korea, Luxembourg, Namibia, Germany, Ethiopia, China, Australia, Indon</t>
  </si>
  <si>
    <t>CV Venus Inti Perkasa</t>
  </si>
  <si>
    <t>CID002455</t>
  </si>
  <si>
    <t>Pangkal Pinang, Kepulauan Bangka Belitung</t>
  </si>
  <si>
    <t>Indonesia, Canada, Chile, Germany, Guyana, Japan, Mexico, Peru, Suriname, Switzerland | -2146826246 | INDONESIA</t>
  </si>
  <si>
    <t>Gejiu Laochang Tin Mine/Song Shujiao Tin | -2146826246</t>
  </si>
  <si>
    <t>China | Myanmar, China, USA, Malaysia, Bolivia, Canada, Belgium, Brazil, Australia, Peru, Ethiopia, Germany, Indonesia, DRC or an adjoining country (Covered Countries), Recycled/Scrap, | Recycled/Scrap, China, Brazil, Malaysia, Australia, Indonesia, Myanmar, Peru, Canada, Germany, United States, Ethiopia, Belgium, Hong Kong | -2146826246 | CHINA</t>
  </si>
  <si>
    <t>L1 | 回收 | Concentrate Tin</t>
  </si>
  <si>
    <t>CHINA | Recycled/Scrap, Singapore, China, Myanmar, India, Brazil, USA | Recycled/Scrap, China, Singapore, Brazil, Myanmar, United States, India | 回收 | China</t>
  </si>
  <si>
    <t>China, Brazil, Thailand, Peru, Germany, Myanmar, Cambodia, Malaysia, Kazakhstan, Portugal, Mongolia, Austria, Luxembourg, Republic Of Korea, Guyana, Chile, Laos, Ecuador, Argentina, Hungary, Japan, India, Canada, Belgium, Namibia, Ethiopia, Russia, Burund | Recycled/Scrap, Brazil, China, Peru, Thailand, Germany, Myanmar, Malaysia, Mongolia, Portugal, Argentina, Namibia, Ethiopia, India, Austria, Chile, Ecuador, Japan, Belgium, Cambodia, Canada, Guyana, Hungary, Kazakhstan, Korea, Luxembourg, Indonesia, Austr | L1</t>
  </si>
  <si>
    <t>Hanoi，Ha Noi</t>
  </si>
  <si>
    <t>RMI active | Recycled/Scrap | Due diligence results pending | -2146826246</t>
  </si>
  <si>
    <t>Geiju, Yunnan Sheng</t>
  </si>
  <si>
    <t>CHINA | Singapore, China, USA, Japan, Uzbekistan, United Kingdom, Malaysia, Bolivia, Switzerland, Canada, Belgium, South Africa, Mexico, Australia, Chile, Indonesia, Recycled/Scrap, Peru | Recycled/Scrap, China, Indonesia, United Kingdom, Chile, Peru, Australia, United States, Japan, Malaysia, Mexico, Canada, Uzbekistan, Belgium, Singapore, Switzerland, South Africa | L1, R/S</t>
  </si>
  <si>
    <t>Amphur Muang, Phuket</t>
  </si>
  <si>
    <t>Tin Mine located at countries stated next cell (No Name of Tin Mine) | LR, CC, HR, DRC, R/S</t>
  </si>
  <si>
    <t>Australia, Brazil, Bolivia, China, Laos, Myanmar, Morocco, Peru, Portugal, Vietnam, Rwanda and DRC | DRC or an adjoining country (Covered Countries), Rwanda, Indonesia, Recycled/Scrap, Thailand, Burundi, Uganda, Myanmar, Portugal, Morocco, Chile, Bolivia, Canada, Brazil, Malaysia, Poland, Peru, Australia, China, Japan, Thailand, Laos, Vietnam, | Recycled/Scrap, Thailand, Rwanda, Burundi, Uganda, Indonesia, Myanmar, Brazil, Portugal, Morocco, Australia, China, Peru, Malaysia, Japan, Chile, Canada, Poland, Democratic Republic of Congo, India, Mongolia, Argentina, Colombia, Congo, Austria, Guyana, C | LR, CC, DRC, HR, R/S | THAILAND</t>
  </si>
  <si>
    <t>Taoyuan, Taoyuan</t>
  </si>
  <si>
    <t>recycled | L1, R/S</t>
  </si>
  <si>
    <t>Recycled | Recycled/Scrap, Brazil, China, Japan, DRC or an adjoining country (Covered Countries), Indonesia | Recycled/Scrap, China, Brazil, Japan, Indonesia, Taiwan | recycled | L1</t>
  </si>
  <si>
    <t>PT Tommy Utama</t>
  </si>
  <si>
    <t>CID001493</t>
  </si>
  <si>
    <t>Gantung, Kepulauan Bangka Belitung</t>
  </si>
  <si>
    <t>Gantung</t>
  </si>
  <si>
    <t>PT Tinindo Inter Nusa</t>
  </si>
  <si>
    <t>CID001490</t>
  </si>
  <si>
    <t>UT-Mine | L1</t>
  </si>
  <si>
    <t>Due diligence results pending | Recycled/Scrap, Indonesia, India</t>
  </si>
  <si>
    <t>PT Timah Nusantara</t>
  </si>
  <si>
    <t>CID001486</t>
  </si>
  <si>
    <t>Tempilang, Kepulauan Bangka Belitung</t>
  </si>
  <si>
    <t>Tempilang</t>
  </si>
  <si>
    <t>Recycled/Scrap, Indonesia, China, Brazil, Burundi, Malaysia, Niger, Nigeria, Rwanda, India, Argentina, Australia, Austria, Belgium, Cambodia, Canada, Chile, Colombia, Djibouti, Ecuador, Egypt, Estonia, Ethiopia, France, Germany, Guyana, Hungary, Ireland, | DRC or an adjoining country (Covered Countries), Myanmar, Cambodia, Malaysia, Kazakhstan, Portugal, Austria, Mongolia, Luxembourg, Brazil, Republic Of Korea, Guyana, Chile, Laos, Ecuador, Colombia, Argentina, Hungary, Japan, India, Canada, Belgium, Namibi | -2146826246</t>
  </si>
  <si>
    <t>Mentok, Kepulauan Bangka Belitung</t>
  </si>
  <si>
    <t>Nil | Bangka &amp; Belitung Mines | LR</t>
  </si>
  <si>
    <t>Indonesia | Indonesia, Recycled/Scrap | Recycled/Scrap, Indonesia, India, Canada, Belgium, Malaysia, Brazil, Peru, Estonia, Portugal, Mongolia, Myanmar, Argentina, Colombia, Germany, Japan, China, Chile, Austria, Cambodia, Kazakhstan, Guyana, Ecuador, Hungary, Korea, Luxembourg, Namibia, Ethiop</t>
  </si>
  <si>
    <t>Kundur, Riau</t>
  </si>
  <si>
    <t>Nil | LR</t>
  </si>
  <si>
    <t>Indonesia | Indonesia, Brazil, Peru, Recycled/Scrap | Recycled/Scrap, Indonesia, Brazil, Peru, India, Malaysia, Mongolia, Portugal, Myanmar, Argentina, Colombia, Germany, Austria, Cambodia, Kazakhstan, Guyana, Japan, Canada, Chile, Ecuador, Hungary, Korea, Luxembourg, Namibia, Ethiopia, Belgium, Taiwan, Chin</t>
  </si>
  <si>
    <t>PT Stanindo Inti Perkasa</t>
  </si>
  <si>
    <t>CID001468</t>
  </si>
  <si>
    <t>RMI conformant | Recycled/Scrap, Indonesia, India, Brazil, Malaysia, Canada, China, Peru, Mongolia, Myanmar, Portugal, Guyana, Austria, Cambodia, Kazakhstan, Luxembourg, Mozambique, Colombia, Namibia, Chile, Japan, Argentina, Belgium, Ecuador, Hungary, Korea, Germany, Uni</t>
  </si>
  <si>
    <t>PT Sariwiguna Binasentosa</t>
  </si>
  <si>
    <t>CID001463</t>
  </si>
  <si>
    <t>PT REFINED BANGKA TIN</t>
  </si>
  <si>
    <t>CID001460</t>
  </si>
  <si>
    <t>LR | Jl Jendral Sudirman Kav 52-53  Jakarta</t>
  </si>
  <si>
    <t>Indonesia | Indonesia, Recycled/Scrap, Myanmar, Cambodia, Malaysia, Kazakhstan, Portugal, Austria, Mongolia, Luxembourg, Republic Of Korea, Brazil, Guyana, Chile, Laos, Ecuador, Colombia, Argentina, Hungary, Japan, India, Canada, Belgium, Namibia, China, Peru, German | Recycled/Scrap, Indonesia, India, Malaysia, Brazil, Portugal, Peru, Argentina, Mongolia, Colombia, Myanmar, Chile, Canada, Japan, Germany, Namibia, Austria, Guyana, Cambodia, Ecuador, Kazakhstan, Korea, Luxembourg, Belgium, Hungary, Ethiopia, China, Niger | L1 | INDONESIA</t>
  </si>
  <si>
    <t>Australia | Australia, Indonesia, India, Canada, Japan, Chile, Peru, China, United States, Argentina, Austria, Brazil, Guyana, Malaysia, Namibia, Mongolia, Portugal, Kazakhstan, Korea, Belgium, Cambodia, Colombia, Ecuador, Hungary, Luxembourg, Myanmar, Germany, Ethio</t>
  </si>
  <si>
    <t>PT Panca Mega Persada</t>
  </si>
  <si>
    <t>CID001457</t>
  </si>
  <si>
    <t>Indonesia | Indonesia, Recycled/Scrap, Chile, Mexico, Myanmar, Cambodia, Malaysia, Kazakhstan, Portugal, Mongolia, Austria, Luxembourg, Republic Of Korea, Brazil, Guyana, Laos, Colombia, Ecuador, Argentina, Hungary, Japan, India, Canada, Belgium, Namibia, China, Peru | Recycled/Scrap, Indonesia, India, Chile, Argentina, Brazil, Malaysia, Mongolia, Portugal, Colombia, Myanmar, Japan, Austria, Guyana, Cambodia, Ecuador, Hungary, Kazakhstan, Korea, Luxembourg, Peru, Canada, Belgium, Germany, Namibia, Ethiopia, Mexico, Chin</t>
  </si>
  <si>
    <t>PT Bukit Timah</t>
  </si>
  <si>
    <t>CID001428</t>
  </si>
  <si>
    <t>Recycled/Scrap, Indonesia, Korea, China, Slovakia | Indonesia, Recycled/Scrap, Republic Of Korea, China, Slovakia | -2146826246</t>
  </si>
  <si>
    <t>PT Belitung Industri Sejahtera</t>
  </si>
  <si>
    <t>CID001421</t>
  </si>
  <si>
    <t>West Belitung, Kepulauan Bangka Belitung</t>
  </si>
  <si>
    <t>West Belitung</t>
  </si>
  <si>
    <t>PT Babel Surya Alam Lestari</t>
  </si>
  <si>
    <t>CID001406</t>
  </si>
  <si>
    <t>Badau, Kepulauan Bangka Belitung</t>
  </si>
  <si>
    <t>Badau</t>
  </si>
  <si>
    <t>Recycled/Scrap, China, Indonesia, Brazil | Brazil, China, Indonesia, Recycled/Scrap</t>
  </si>
  <si>
    <t>PT Babel Inti Perkasa</t>
  </si>
  <si>
    <t>CID001402</t>
  </si>
  <si>
    <t>Lintang, Kepulauan Bangka Belitung</t>
  </si>
  <si>
    <t>Lintang</t>
  </si>
  <si>
    <t>Indonesia, India, Argentina, Austria, Brazil, Cambodia, Chile, Colombia, Ecuador, Guyana, Hungary, Japan, Kazakhstan, Korea, Luxembourg, Malaysia, Mongolia, Myanmar, Portugal, Belgium, Canada, Ethiopia, Germany, Namibia, Peru, China, Australia, Djibouti,</t>
  </si>
  <si>
    <t>PT Artha Cipta Langgeng</t>
  </si>
  <si>
    <t>CID001399</t>
  </si>
  <si>
    <t>Indonesia, Myanmar, Cambodia, Malaysia, Kazakhstan, Portugal, Mongolia, Austria, Luxembourg, Republic Of Korea, Guyana, Brazil, Chile, Laos, Colombia, Ecuador, Argentina, Hungary, Japan, India, Canada, Belgium, Namibia, China, Peru, Germany, Ethiopia, Rus | Recycled/Scrap, India, Indonesia, Brazil, Argentina, Malaysia, Mongolia, Portugal, Colombia, Myanmar, Germany, Peru, Austria, Guyana, Cambodia, Chile, Ecuador, Hungary, Kazakhstan, Korea, Luxembourg, Japan, Canada, Namibia, Ethiopia, Belgium, China, Niger | INDONESIA</t>
  </si>
  <si>
    <t>Oruro, Oruro</t>
  </si>
  <si>
    <t>Bolivia, Indonesia, China, Recycled/Scrap | Recycled/Scrap, Indonesia, China, India, Brazil, Malaysia, Peru, Canada, Mongolia, Portugal, Myanmar, Argentina, Colombia, Austria, Cambodia, Kazakhstan, Korea, Luxembourg, Guyana, Japan, Democratic Republic of Congo, Chile, Namibia, Belgium, Ecuador, Hun</t>
  </si>
  <si>
    <t>Sriracha, Chon Buri</t>
  </si>
  <si>
    <t>Sriracha</t>
  </si>
  <si>
    <t>Thailand, China, DRC or an adjoining country (Covered Countries), Recycled/Scrap, DRC or an adjoining country (Covered Countries), Netherlands, Philippines, USA, Vietnam, Brazil | Recycled/Scrap, Thailand, China, Netherlands, Philippines, Brazil, United States</t>
  </si>
  <si>
    <t>Indonesia, Russia, Recycled/Scrap | Recycled/Scrap, Indonesia | -2146826246</t>
  </si>
  <si>
    <t>Ganzhou, Jiangxi Sheng</t>
  </si>
  <si>
    <t>Recycled scrap material | L1, R/S</t>
  </si>
  <si>
    <t>Myanmar, Cambodia, Malaysia, Kazakhstan, Portugal, Austria, Mongolia, Luxembourg, Republic Of Korea, Brazil, Guyana, Chile, Laos, Ecuador, Colombia, Argentina, Hungary, Japan, India, Canada, Belgium, Namibia, China, Peru, Germany, Ethiopia, Russia, Vietna | Recycled/Scrap, China, Portugal, Japan, Kazakhstan, Brazil, Colombia, Malaysia, Mongolia, Myanmar, India, Argentina, Austria, Chile, Ecuador, Cambodia, Canada, Guyana, Hungary, Korea, Luxembourg, Ethiopia, Peru, Namibia, Belgium, Germany, Thailand, United | Recycled scrap material</t>
  </si>
  <si>
    <t>Tokyo,Tokyo</t>
  </si>
  <si>
    <t>recycled | Recycled/Scrap, Japan, Indonesia, Guinea, Papua New Guinea, Canada, Argentina, Chile, China, Peru, Australia, Panama | China, Indonesia, Papua New Guinea, Australia, Argentina, Chile, Peru, Canada, Recycled/Scrap, Japan | Recycled</t>
  </si>
  <si>
    <t>Paracas, Ika</t>
  </si>
  <si>
    <t>Minsur | L1</t>
  </si>
  <si>
    <t>Peru | Peru, China, Thailand, Malaysia, Recycled/Scrap, Myanmar, Cambodia, Kazakhstan, Portugal, Mongolia, Austria, Luxembourg, Guyana, Republic Of Korea, Brazil, Chile, Laos, Ecuador, Colombia, Argentina, Hungary, Japan, India, Canada, Belgium, Namibia, Ethiopi | Recycled/Scrap, Peru, Brazil, Malaysia, Myanmar, Colombia, Mongolia, Portugal, Argentina, Germany, Canada, Korea, Cambodia, India, Japan, Austria, Chile, Ecuador, Belgium, Guyana, Hungary, Kazakhstan, Luxembourg, Namibia, Ethiopia, China, Thailand, Niger,</t>
  </si>
  <si>
    <t>Bairro Guarapiranga, Pirapora do Bom Jesus City, São Paulo</t>
  </si>
  <si>
    <t>Bairro Guarapiranga, Pirapora do Bom Jesus City</t>
  </si>
  <si>
    <t>Brazil | Recycled/Scrap, Brazil, Thailand, China, Australia, Germany, Colombia, Argentina, Indonesia, Belgium, Ireland, Japan, Ethiopia, France, India, Canada, Austria, Chile, Ecuador, Cambodia, Djibouti, Egypt, Estonia, Guyana, Hungary, Israel, Kazakhstan | Brazil, Thailand, China, Argentina, Australia, Austria, Belgium, Bolivia, Cambodia, Canada, Chile, Colombia, Ivory Coast, Czech Republic, Djibouti, Ecuador, Egypt, Estonia, Ethiopia, France, Germany, Guyana, Hungary, India, Indonesia, Ireland, Israel, Jap</t>
  </si>
  <si>
    <t>Twinsburg, Ohio</t>
  </si>
  <si>
    <t>USA, Recycled/Scrap | Recycled/Scrap, United States | LR, R/S</t>
  </si>
  <si>
    <t>Butterworth, Pulau Pinang</t>
  </si>
  <si>
    <t>L1, HR, CC, DRC, R/S | owened by Malaysia Smelting Corporation Berhad</t>
  </si>
  <si>
    <t>Indonesia, Australia and Central Africa (Rwanda and the DRC) | Rwanda, Malaysia, China, DRC or an adjoining country (Covered Countries), Burundi, Uganda, Recycled/Scrap, Indonesia, Australia, Peru, Angola, Myanmar, Angola, Cambodia, Kazakhstan, Austria, Mongolia, Mozambique, Luxembourg, Republic Of Korea, Guyana, Lao | Recycled/Scrap, Malaysia, Burundi, Uganda, Australia, Indonesia, Myanmar, Mongolia, Korea, Kazakhstan, India, Austria, Cambodia, Luxembourg, Colombia, Argentina, Guyana, Belgium, Ecuador, Hungary, United States, Angola, China, Mozambique, Tanzania, Zambia | L1, R/S | MALAYSIA</t>
  </si>
  <si>
    <t>Laibin, Guangxi Zhuangzu Zizhiqu</t>
  </si>
  <si>
    <t>Tin Mine in Indonesia(No Name of Tim Mine) | LR, R/S | Gaofeng,tongkeng</t>
  </si>
  <si>
    <t>CHINA | China, Recycled/Scrap, Malaysia, Mexico, Russia, DRC or an adjoining country (Covered Countries), Switzerland, USA, Indonesia, Bolivia, Canada, Brazil, Australia, Japan | Recycled/Scrap, China, Indonesia, United States, Mexico, Switzerland, Malaysia, Australia, Brazil, Japan, Canada, Russian Federation | guangxi,china</t>
  </si>
  <si>
    <t>China, Recycled/Scrap, Indonesia, Brazil, Malaysia | Recycled/Scrap, China, Indonesia, Brazil, Malaysia | -2146826246</t>
  </si>
  <si>
    <t>China, Brazil, Indonesia, Recycled/Scrap, Bolivia, USA | Recycled/Scrap, China, Brazil, Indonesia, United States</t>
  </si>
  <si>
    <t>CHINA | Myanmar, Cambodia, Malaysia, Kazakhstan, Portugal, Mongolia, Austria, Luxembourg, Guyana, Republic Of Korea, Brazil, Chile, Laos, Ecuador, Colombia, Argentina, Hungary, Japan, India, Canada, Belgium, Namibia, China, Peru, Germany, Ethiopia, Russia, Vietna | Recycled/Scrap, China, Brazil, Colombia, Malaysia, Mongolia, Myanmar, Portugal, Argentina, Peru, Belgium, Canada, Austria, Chile, Ecuador, India, Japan, Cambodia, Guyana, Hungary, Kazakhstan, Korea, Luxembourg, Ethiopia, Namibia, Germany, Indonesia, Thail</t>
  </si>
  <si>
    <t>Chmielów, Podkarpackie</t>
  </si>
  <si>
    <t>recycled | Poland, Bolivia, Recycled/Scrap, China, Brazil, Australia, Kazakhstan, Peru, Indonesia | Recycled/Scrap, Poland, Brazil, China, Australia, Peru, Indonesia, Kazakhstan</t>
  </si>
  <si>
    <t>Brazil | Brazil, Taiwan</t>
  </si>
  <si>
    <t>Bolivia, Brazil, China, Canada, Indonesia, Malaysia, Peru, Recycled/Scrap, DRC or an adjoining country (Covered Countries), Myanmar, Cambodia, Kazakhstan, Portugal, Austria, Mongolia, Luxembourg, Guyana, Republic Of Korea, Chile, Laos, Colombia, Ecuador, | Recycled/Scrap, Malaysia, Mongolia, Myanmar, Portugal, Brazil, Austria, Cambodia, Guyana, Kazakhstan, Korea, Luxembourg, Colombia, Chile, Argentina, Canada, Ecuador, Namibia, Japan, India, Hungary, Belgium, Peru, Indonesia, China, Ireland, Niger, Nigeria,</t>
  </si>
  <si>
    <t>recycled | Recycled/Scrap, Japan | Recycled/Scrap | Recycled</t>
  </si>
  <si>
    <t>PT Aries Kencana Sejahtera</t>
  </si>
  <si>
    <t>CID000309</t>
  </si>
  <si>
    <t>Pemali, Kepulauan Bangka Belitung</t>
  </si>
  <si>
    <t>Pemali</t>
  </si>
  <si>
    <t>Indonesia, India, Argentina, Austria, Brazil, Cambodia, Canada, Chile, Colombia, Ecuador, Guyana, Hungary, Japan, Kazakhstan, Korea, Luxembourg, Malaysia, Mongolia, Myanmar, Portugal, Belgium, Ethiopia, Germany, Namibia, Peru, China, Australia, Djibouti, | -2146826246</t>
  </si>
  <si>
    <t>Alpha</t>
  </si>
  <si>
    <t>Altoona, Pennsylvania</t>
  </si>
  <si>
    <t>UNITED STATES OF AMERICA | Myanmar, Cambodia, Malaysia, Kazakhstan, Portugal, Austria, Mongolia, Luxembourg, Republic Of Korea, Brazil, Guyana, USA, Chile, Laos, Colombia, Ecuador, Argentina, Hungary, Japan, India, Canada, Belgium, Namibia, China, Peru, Ethiopia, Germany, Russia, S | Recycled/Scrap, United States, Japan, Argentina, Brazil, Malaysia, Mongolia, Portugal, Colombia, Myanmar, Peru, Germany, Austria, Guyana, Chile, Ecuador, Cambodia, Hungary, Kazakhstan, Korea, Luxembourg, India, Ethiopia, Canada, Namibia, Belgium, China, A | LR, CC, DRC, HR, R/S</t>
  </si>
  <si>
    <t>Chenzhou, Hunan Sheng</t>
  </si>
  <si>
    <t>China, Recycled/Scrap, Vietnam,  Indonesia, Vietnam | Recycled/Scrap, China, Indonesia | L1</t>
  </si>
  <si>
    <t>Ramenskoe,Moskovskaja oblast'</t>
  </si>
  <si>
    <t>Ramenskoe，Moskovskaja oblast'</t>
  </si>
  <si>
    <t>Longyan, Fujian Sheng</t>
  </si>
  <si>
    <t>Due diligence results pending | LR, R/S, DRC, CC, HR; See aggregated data below for TI-CMC Sourcing</t>
  </si>
  <si>
    <t>Moscow, Moskva</t>
  </si>
  <si>
    <t>Araquari, Santa Catarina</t>
  </si>
  <si>
    <t>Sao Paulo, São Paulo</t>
  </si>
  <si>
    <t>Shenzhen, Guangdong Sheng</t>
  </si>
  <si>
    <t>Kopeysk,Chelyabinskaya Oblast'</t>
  </si>
  <si>
    <t>Kirovgrad,Sverdlovskaya oblast'</t>
  </si>
  <si>
    <t>Fangliao, Pingtung</t>
  </si>
  <si>
    <t>Fujian Ganmin RareMetal Co., Ltd.</t>
  </si>
  <si>
    <t>CID003401</t>
  </si>
  <si>
    <t>Roshal, Moskovskaja oblast'</t>
  </si>
  <si>
    <t>See aggregated data below for TI-CMC Sourcing</t>
  </si>
  <si>
    <t>Russia | Russian Federation</t>
  </si>
  <si>
    <t>Araçariguama, São Paulo</t>
  </si>
  <si>
    <t>Brazil, Japan</t>
  </si>
  <si>
    <t>Xinfeng Huarui Tungsten &amp; Molybdenum New Material Co., Ltd.</t>
  </si>
  <si>
    <t>CID002830</t>
  </si>
  <si>
    <t>China, Thailand</t>
  </si>
  <si>
    <t>Marilao, Bulacan</t>
  </si>
  <si>
    <t>Recycled/Scrap, Philippines</t>
  </si>
  <si>
    <t>Unecha,Bryanskaya oblast'</t>
  </si>
  <si>
    <t>L1 , R/S</t>
  </si>
  <si>
    <t>Recycled/Scrap, Russia, USA | Recycled/Scrap, United States, Russian Federation</t>
  </si>
  <si>
    <t>Nalchik,Kabardino-Balkarskaya Respublika</t>
  </si>
  <si>
    <t>R/S and Mined (See aggregated data below for TI-CMC Sourcing)</t>
  </si>
  <si>
    <t>DRC or an adjoining country (Covered Countries), Myanmar, Cambodia, Malaysia, Kazakhstan, Portugal, Austria, Mongolia, Luxembourg, Guyana, Brazil, Republic Of Korea, Chile, Laos, Ecuador, Argentina, Hungary, Japan, India, Canada, Belgium, Namibia, China, | Recycled/Scrap, Brazil, China, Peru, Austria, Canada, Japan, Mongolia, Portugal, Argentina, Belgium, Cambodia, Chile, Ecuador, Guyana, Hungary, India, Kazakhstan, Korea, Luxembourg, Malaysia, Myanmar, Namibia, Australia, Germany, Ethiopia, Ireland, Niger, | L1, R/S</t>
  </si>
  <si>
    <t>Ganzhou Haichuang Tungsten Co., Ltd.</t>
  </si>
  <si>
    <t>CID002645</t>
  </si>
  <si>
    <t>China, DRC or an adjoining country (Covered Countries), Canada, Russia, Mozambique, Brazil, Thailand, Australia | China, Australia, Brazil, Canada, Thailand, Mozambique | LR, R/S</t>
  </si>
  <si>
    <t>Luoyang, Henan Sheng</t>
  </si>
  <si>
    <t>Depew, New York</t>
  </si>
  <si>
    <t>R/S, HR, CC, LR (See aggregated data below for TI-CMC Sourcing)</t>
  </si>
  <si>
    <t>Myanmar, Cambodia, Malaysia, Kazakhstan, Portugal, Austria, Mongolia, Luxembourg, Republic Of Korea, Guyana, Brazil, Chile, Laos, Ecuador, Colombia, Argentina, Hungary, Japan, India, Canada, Belgium, Namibia, China, Peru, Germany, Ethiopia, Russia, Vietna | Recycled/Scrap, United States, Brazil, Canada, Japan, Ethiopia, Germany, India, Namibia, Malaysia, Austria, Colombia, Mongolia, Portugal, Peru, Belgium, Myanmar, Luxembourg, Argentina, Cambodia, Chile, Ecuador, Guyana, Hungary, Kazakhstan, Korea, China, A | R/S</t>
  </si>
  <si>
    <t>China, Japan, USA, Recycled/Scrap | Recycled/Scrap, China, Japan, United States</t>
  </si>
  <si>
    <t>Dai Tu, Thái Nguyên</t>
  </si>
  <si>
    <t>Recycled/Scrap, Myanmar, Cambodia, Malaysia, Kazakhstan, Portugal, Austria, Mongolia, Luxembourg, Guyana, Republic Of Korea, Brazil, Chile, Laos, Colombia, Ecuador, Argentina, Hungary, Japan, India, Canada, Belgium, Namibia, China, Peru, Germany, Ethiopia | Recycled/Scrap, Namibia, Austria, Brazil, Colombia, Canada, Portugal, Japan, Mongolia, India, Ethiopia, Myanmar, Ecuador, Guyana, Argentina, Belgium, Cambodia, Chile, Hungary, Kazakhstan, Korea, Luxembourg, Malaysia, Peru, Germany, China, Australia, Niger</t>
  </si>
  <si>
    <t>Recycled/Scrap, Germany, Portugal, Australia, Canada, Brazil, Argentina, Austria, Cambodia, Chile, Spain, Colombia, Mongolia, Guyana, Ecuador, Hungary, Japan, Kazakhstan, Malaysia, Korea, Luxembourg, Myanmar, Ethiopia, Mozambique, China, Burundi, India, N | Recycled/Scrap, Australia, Bolivia, Brazil, Burundi, DRC or an adjoining country (Covered Countries), Ethiopia, India, Mozambique, Namibia, Nigeria, Rwanda, Sierra Leone, Zimbabwe, Argentina, Austria, Belgium, Cambodia, Canada, Chile, China, Colombia, Ivo | LR, HR, DRC, CC</t>
  </si>
  <si>
    <t>Recycled/Scrap, Australia, Bolivia, Canada, Portugal, Russia, Spain, Vietnam,  Myanmar, Cambodia, Malaysia, Kazakhstan, Austria, Mongolia, Mozambique, Luxembourg, Brazil, Republic Of Korea, Guyana, Chile, Laos, Colombia, Ecuador, Argentina, Hungary, Japan | Recycled/Scrap, Portugal, Canada, Germany, Australia, Spain, Brazil, Austria, Colombia, Mongolia, Mozambique, Korea, Guyana, Argentina, Cambodia, Chile, Ecuador, Kazakhstan, Luxembourg, Malaysia, Myanmar, Japan, Hungary, Namibia, India, Ethiopia, Belgium,</t>
  </si>
  <si>
    <t>China, Recycled/Scrap, Myanmar, Cambodia, Malaysia, Kazakhstan, Portugal, Austria, Mongolia, Luxembourg, Republic Of Korea, Guyana, Brazil, Chile, Laos, Ecuador, Colombia, Argentina, Hungary, Japan, India, Canada, Belgium, Namibia, Peru, Ethiopia, Germany | Recycled/Scrap, China, Austria, Brazil, Japan, Mongolia, Portugal, Canada, Namibia, India, Argentina, Cambodia, Chile, Ecuador, Guyana, Hungary, Kazakhstan, Korea, Luxembourg, Malaysia, Myanmar, Germany, Belgium, Ethiopia, Peru, Colombia, Ireland, Niger,</t>
  </si>
  <si>
    <t>Vinh Bao District, Hai Phong</t>
  </si>
  <si>
    <t>L1, HR, CC, DRC</t>
  </si>
  <si>
    <t>Myanmar, Angola, Cambodia, Malaysia, Kazakhstan, Portugal, Austria, Mongolia, Luxembourg, Brazil, Guyana, Republic Of Korea, Chile, Laos, Ecuador, Colombia, Argentina, South Sudan, Hungary, Japan, Tanzania, Zambia, DRC or an adjoining country (Covered Cou | Recycled/Scrap, Namibia, Brazil, Colombia, Malaysia, Mongolia, Myanmar, Portugal, Argentina, Austria, Cambodia, Chile, Ecuador, Guyana, Hungary, Japan, Kazakhstan, Korea, Luxembourg, Canada, India, Tanzania, Zambia, Angola, South Sudan, Sudan, Ethiopia, P</t>
  </si>
  <si>
    <t>Myanmar, Cambodia, Malaysia, Kazakhstan, Portugal, Austria, Mongolia, Luxembourg, Republic Of Korea, Brazil, Guyana, Chile, Laos, Ecuador, Colombia, Argentina, Hungary, Japan, India, Canada, Belgium, Namibia, China, Peru, Ethiopia, Germany, Russia, Singap | China, India, Brazil, Canada, Japan, Namibia, Ethiopia, Germany, Austria, Colombia, Mongolia, Portugal, Belgium, Argentina, Cambodia, Chile, Ecuador, Guyana, Hungary, Kazakhstan, Korea, Luxembourg, Malaysia, Myanmar, Peru, United States, Indonesia, Austra</t>
  </si>
  <si>
    <t>Xiushui, Jiangxi Sheng</t>
  </si>
  <si>
    <t>Myanmar, Cambodia, Malaysia, Kazakhstan, Portugal, Mongolia, Austria, Luxembourg, Guyana, Republic Of Korea, Brazil, Chile, Laos, Ecuador, Argentina, Hungary, Japan, India, Canada, Belgium, Namibia, China, Peru, Ethiopia, Germany, Russia, Vietnam, USA, Eg | China, Canada, Austria, Brazil, Japan, Mongolia, Portugal, Kazakhstan, Korea, Malaysia, Argentina, Belgium, Cambodia, Chile, Ecuador, Guyana, Hungary, India, Luxembourg, Myanmar, Namibia, Ethiopia, Germany, Peru, United States, Australia, Ireland, Niger,</t>
  </si>
  <si>
    <t>Xiamen, Fujian Sheng</t>
  </si>
  <si>
    <t>R/S, HR, DRC, CC, and Mined (See aggregated data below for TI-CMC Sourcing)</t>
  </si>
  <si>
    <t>China, Recycled/Scrap, Russia, Canada, Thailand, DRC or an adjoining country (Covered Countries), Burundi, Rwanda, Niger, Malaysia, Bolivia, Spain, Brazil, Mexico, Australia, Nigeria, USA, Vietnam,  Ethiopia | Recycled/Scrap, China, Canada, Rwanda, Burundi, Brazil, Australia, Mexico, Niger, Nigeria, Spain, Thailand, Malaysia, United States, Ethiopia, Russian Federation | LR, R/S, HR, CC</t>
  </si>
  <si>
    <t>Nanfeng Xiaozhai, Yunnan Sheng</t>
  </si>
  <si>
    <t>Nanfeng Xiaozhai</t>
  </si>
  <si>
    <t>Myanmar, Cambodia, Malaysia, Kazakhstan, Portugal, Austria, Mongolia, Luxembourg, Guyana, Republic Of Korea, Brazil, Chile, Laos, Ecuador, Colombia, Argentina, Hungary, Japan, India, Canada, Belgium, Namibia, China, Peru, Ethiopia, Germany, Russia, Vietna | China, Brazil, Austria, Canada, Colombia, Japan, Mongolia, Portugal, Korea, Argentina, Belgium, Cambodia, Chile, Ecuador, Guyana, Hungary, India, Kazakhstan, Luxembourg, Malaysia, Myanmar, Ethiopia, Germany, Namibia, Peru, United States, Australia, Irelan</t>
  </si>
  <si>
    <t>Tonggu, Jiangxi Sheng</t>
  </si>
  <si>
    <t>China, Republic Of Korea, Kazakhstan | China, Korea, Kazakhstan</t>
  </si>
  <si>
    <t>China, DRC or an adjoining country (Covered Countries), Canada, Russia, Brazil, Malaysia, Australia, Bolivia, Peru, Indonesia, Recycled/Scrap, Japan | Recycled/Scrap, China, Indonesia, Brazil, Australia, Canada, Malaysia, Peru, Japan, Russian Federation, Democratic Republic of Congo</t>
  </si>
  <si>
    <t>Recycled/Scrap, China, Canada, Mexico, Brazil, United States, Australia, Japan, Peru, Guinea, Singapore, Argentina, Chile, Papua New Guinea, Portugal, Spain | Argentina, Papua New Guinea, Singapore, USA, Guinea, Japan, Canada, China, Brazil, Mexico, Chile, Australia, Peru, Recycled/Scrap, Portugal, Spain, Bolivia</t>
  </si>
  <si>
    <t>See aggregated data below for TI-CMC Sourcing, R/S</t>
  </si>
  <si>
    <t>Recycled/Scrap, DRC or an adjoining country (Covered Countries), Myanmar, Cambodia, Malaysia, Kazakhstan, Portugal, Austria, Mongolia, Luxembourg, Guyana, Brazil, Republic Of Korea, Chile, Laos, Ecuador, Colombia, Argentina, Hungary, Japan, India, Canada, | Recycled/Scrap, China, Brazil, Colombia, Mongolia, Portugal, Austria, Japan, Malaysia, Myanmar, Argentina, Chile, Ecuador, Guyana, Cambodia, Hungary, Kazakhstan, Korea, Luxembourg, Canada, India, Belgium, Namibia, Peru, Germany, United States, Australia,</t>
  </si>
  <si>
    <t>Gao'an,Jiangxi Sheng</t>
  </si>
  <si>
    <t>China, USA | China, United States | -2146826246</t>
  </si>
  <si>
    <t>China
Russia
Canada | China, Canada, Australia, Bolivia, Brazil, Russia, Portugal, USA, Nigeria, Thailand, Spain, Vietnam,  Rwanda, Niger, Mexico, Peru, Germany, Japan, Recycled/Scrap | Recycled/Scrap, China, Canada, Brazil, Portugal, Japan, United States, Australia, Niger, Nigeria, Peru, Thailand, Mexico, Spain, Rwanda, Germany, Malaysia, Mongolia, Austria, Colombia, Cambodia, Guyana, Kazakhstan, Korea, Luxembourg, Myanmar, Chile, India | LR, R/S, DRC, CC, HR</t>
  </si>
  <si>
    <t>St. Martin i-S, Steiermark</t>
  </si>
  <si>
    <t>R/S, LR, HR, CC and Mined (See aggregated data below for TI-CMC Sourcing)</t>
  </si>
  <si>
    <t>China, Recycled/Scrap, DRC or an adjoining country (Covered Countries), Austria, Australia, Rwanda, Russia, Argentina, Belgium, Bolivia, Brazil, Cambodia, Canada, Chile, Colombia, Ivory Coast, Czech Republic, Djibouti, Ecuador, Egypt, Estonia, Ethiopia, F | Recycled/Scrap, Austria, Australia, China, Brazil, Canada, Colombia, Argentina, Chile, Belgium, Cambodia, Ecuador, Rwanda, Japan, Ethiopia, India, Germany, Guyana, Hungary, Kazakhstan, Djibouti, Egypt, Ireland, Estonia, Indonesia, France, Israel | (See aggregated data below for TI-CMC Sourcing)</t>
  </si>
  <si>
    <t>Fallon, Nevada</t>
  </si>
  <si>
    <t>Recycled/Scrap, USA, Russia, Vietnam, China, Bolivia, Portugal, Indonesia, Mexico, DRC or an adjoining country (Covered Countries) | Recycled/Scrap, United States, China, Portugal, Indonesia, Mexico, Viet Nam, Russian Federation | L1, CC, R/S</t>
  </si>
  <si>
    <t>Ganzhou Huaxing Tungsten Products Co., Ltd.</t>
  </si>
  <si>
    <t>CID000875</t>
  </si>
  <si>
    <t>China | Myanmar, Cambodia, Malaysia, Kazakhstan, Portugal, Mongolia, Austria, Mozambique, Luxembourg, Brazil, Guyana, Republic Of Korea, Chile, Laos, Colombia, Ecuador, Argentina, Hungary, Japan, India, Canada, Belgium, Namibia, China, Peru, Germany, Ethiopia, Ru | Recycled/Scrap, China, Canada, Japan, Austria, Brazil, Colombia, Mongolia, Portugal, Chile, Peru, India, Argentina, Cambodia, Ecuador, Guyana, Hungary, Kazakhstan, Korea, Luxembourg, Malaysia, Myanmar, Mozambique, Belgium, Ethiopia, Germany, Namibia, Unit</t>
  </si>
  <si>
    <t>Akita City, Akita</t>
  </si>
  <si>
    <t>Recycled/Scrap, Myanmar, Cambodia, Malaysia, Kazakhstan, Portugal, Austria, Mongolia, Luxembourg, Republic Of Korea, Brazil, Guyana, Chile, Laos, Ecuador, Argentina, Hungary, Japan, India, Canada, Belgium, Namibia, China, Peru, Germany, Ethiopia, Russia, | Recycled/Scrap, Japan, Portugal, Canada, Austria, Brazil, Mongolia, Chile, Peru, Argentina, Belgium, Cambodia, Ecuador, Guyana, Hungary, India, Kazakhstan, Korea, Luxembourg, Malaysia, Myanmar, Ethiopia, Germany, Namibia, China, Australia, United States, | LR, HR, CC, R/S and Mined; See aggregated data below for TI-CMC Sourcing</t>
  </si>
  <si>
    <t>Myanmar, Cambodia, Malaysia, Kazakhstan, Portugal, Mongolia, Austria, Mozambique, Luxembourg, Brazil, Guyana, Republic Of Korea, Chile, Laos, Ecuador, Colombia, Argentina, Hungary, Japan, India, Canada, Belgium, Namibia, China, Peru, Germany, Ethiopia, Ru | Recycled/Scrap, China, Mongolia, Canada, Mozambique, Ethiopia, Germany, Japan, Austria, Brazil, Colombia, Portugal, Argentina, Chile, Cambodia, Ecuador, Guyana, Hungary, India, Kazakhstan, Korea, Luxembourg, Malaysia, Myanmar, Belgium, Namibia, Peru, Aust</t>
  </si>
  <si>
    <t>CID000766</t>
  </si>
  <si>
    <t>Yuanling, Hunan Sheng</t>
  </si>
  <si>
    <t>Recycled/Scrap, China, Brazil, Japan, Austria, Mongolia, Portugal, Canada, Colombia, Argentina, India, Malaysia, Guyana, Myanmar, Chile, Ecuador, Belgium, Cambodia, Hungary, Kazakhstan, Korea, Luxembourg, Namibia, Germany, Peru, Ethiopia, Australia, Switz | Canada, Mozambique, China, Australia, Switzerland, Myanmar, Cambodia, Malaysia, Kazakhstan, Portugal, Austria, Mongolia, Luxembourg, Brazil, Guyana, Republic Of Korea, Chile, Laos, Ecuador, Colombia, Argentina, Hungary, Japan, India, Belgium, Namibia, Per</t>
  </si>
  <si>
    <t>Global Tungsten &amp; Powders Corp.</t>
  </si>
  <si>
    <t>Towanda, Pennsylvania</t>
  </si>
  <si>
    <t>R/S, CC, HR and Mined (See aggregated data below for TI-CMC Sourcing)</t>
  </si>
  <si>
    <t>Myanmar, Cambodia, Malaysia, Kazakhstan, Portugal, Austria, Mongolia, Luxembourg, Guyana, Brazil, Republic Of Korea, Chile, Laos, Ecuador, Colombia, Argentina, Hungary, Japan, India, Canada, Belgium, Namibia, China, Peru, Ethiopia, Germany, Russia, Singap | Recycled/Scrap, United States, Portugal, Canada, Peru, Spain, Brazil, Austria, Colombia, Mongolia, Japan, Malaysia, Guyana, Cambodia, Chile, Ecuador, Kazakhstan, Korea, Luxembourg, Myanmar, Argentina, Hungary, Germany, Ethiopia, India, Namibia, Belgium, C | LR, CC, HR, R/S</t>
  </si>
  <si>
    <t>Hezhou,Guangxi Zhuangzu Zizhiqu</t>
  </si>
  <si>
    <t>China | China, Canada, Austria, Brazil, Colombia, Mongolia, Portugal, India, Argentina, Cambodia, Chile, Ecuador, Guyana, Kazakhstan, Korea, Luxembourg, Malaysia, Myanmar, Hungary, Belgium, Namibia, Peru, Ethiopia, Democratic Republic of Congo, Taiwan, Australia,</t>
  </si>
  <si>
    <t>China, Myanmar, Cambodia, Malaysia, Kazakhstan, Portugal, Mongolia, Austria, Luxembourg, Brazil, Republic Of Korea, Guyana, Chile, Laos, Colombia, Ecuador, Argentina, Hungary, Japan, India, Canada, Belgium, Namibia, Peru, Germany, Ethiopia, Russia, Vietna | China, Namibia, Japan, Austria, Brazil, Canada, Colombia, Mongolia, Portugal, Peru, Argentina, Cambodia, Chile, Ecuador, Guyana, Hungary, India, Kazakhstan, Korea, Luxembourg, Malaysia, Myanmar, Belgium, Ethiopia, Germany, Suriname, United States, Austral | See aggregated data below for TI-CMC Sourcing</t>
  </si>
  <si>
    <t>Huntsville, Alabama</t>
  </si>
  <si>
    <t>Indonesia, Recycled/Scrap | Recycled/Scrap, Indonesia, China, United States, Austria, Japan, Canada, Portugal, Brazil, Colombia, Mongolia, Chile, Ecuador, Luxembourg, Argentina, Cambodia, Guyana, Hungary, India, Kazakhstan, Korea, Malaysia, Myanmar, Namibia, Belgium, South Africa, T | L1</t>
  </si>
  <si>
    <t>Toyama City, Toyama</t>
  </si>
  <si>
    <t>Recycled/Scrap, Japan, China, Canada, Portugal, Peru, United States, Australia, Spain, Indonesia, Brazil, Austria, Mongolia, Colombia, Viet Nam, Argentina, Cambodia, Chile, Ecuador, Guyana, Hungary, Kazakhstan, Korea, Luxembourg, Malaysia, Myanmar, Belgiu | China, Japan, Indonesia, Recycled/Scrap, USA, Portugal, Canada, Spain, Peru, Australia | L1, CC, HR, 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</si>
</sst>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 #,##0_-;\-* #,##0_-;_-* &quot;-&quot;_-;_-@_-"/>
    <numFmt numFmtId="173" formatCode="_-&quot;$&quot;* #,##0.00_-;\-&quot;$&quot;* #,##0.00_-;_-&quot;$&quot;* &quot;-&quot;??_-;_-@_-"/>
    <numFmt numFmtId="174" formatCode="_-* #,##0.00_-;\-* #,##0.00_-;_-* &quot;-&quot;??_-;_-@_-"/>
    <numFmt numFmtId="175" formatCode="_-* #,##0\ &quot;€&quot;_-;\-* #,##0\ &quot;€&quot;_-;_-* &quot;-&quot;\ &quot;€&quot;_-;_-@_-"/>
    <numFmt numFmtId="176" formatCode="_-* #,##0\ _€_-;\-* #,##0\ _€_-;_-* &quot;-&quot;\ _€_-;_-@_-"/>
    <numFmt numFmtId="177" formatCode="_-* #,##0.00\ &quot;€&quot;_-;\-* #,##0.00\ &quot;€&quot;_-;_-* &quot;-&quot;??\ &quot;€&quot;_-;_-@_-"/>
    <numFmt numFmtId="178" formatCode="_-* #,##0.00\ _€_-;\-* #,##0.00\ _€_-;_-* &quot;-&quot;??\ _€_-;_-@_-"/>
    <numFmt numFmtId="179" formatCode="_-&quot;€&quot;\ * #,##0_-;\-&quot;€&quot;\ * #,##0_-;_-&quot;€&quot;\ * &quot;-&quot;_-;_-@_-"/>
    <numFmt numFmtId="180"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5" fontId="10" fillId="0" borderId="0" applyFont="0" applyFill="0" applyBorder="0" applyAlignment="0" applyProtection="0"/>
    <xf numFmtId="172"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179"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2390866</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1816561</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Pieterjan.van.alen@tecnotion.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www.tecnotion.com/certifications.html" TargetMode="External"/><Relationship Id="rId4" Type="http://schemas.openxmlformats.org/officeDocument/2006/relationships/hyperlink" Target="mailto:Aldo.Mulder@tecnotion.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abSelected="1" topLeftCell="A2" workbookViewId="0">
      <pane xSplit="1" ySplit="11" topLeftCell="B39" activePane="bottomRight" state="frozen"/>
      <selection activeCell="A4" sqref="A4"/>
      <selection pane="topRight" activeCell="A4" sqref="A4"/>
      <selection pane="bottomLeft" activeCell="A4" sqref="A4"/>
      <selection pane="bottomRight" activeCell="B59" sqref="B59"/>
    </sheetView>
  </sheetViews>
  <sheetFormatPr defaultColWidth="9" defaultRowHeight="13.5"/>
  <cols>
    <col min="1" max="1" width="0.84375" customWidth="1"/>
    <col min="2" max="2" width="8" customWidth="1"/>
    <col min="3" max="3" width="8.61328125" customWidth="1"/>
    <col min="4" max="4" width="13" style="180" customWidth="1"/>
    <col min="5" max="5" width="42.3828125" customWidth="1"/>
    <col min="6" max="6" width="53.3828125" customWidth="1"/>
    <col min="7" max="7" width="0.84375" customWidth="1"/>
  </cols>
  <sheetData>
    <row r="1" spans="1:7" ht="14" thickTop="1">
      <c r="A1" s="7"/>
      <c r="B1" s="8"/>
      <c r="C1" s="8"/>
      <c r="D1" s="174"/>
      <c r="E1" s="8"/>
      <c r="F1" s="8"/>
      <c r="G1" s="9"/>
    </row>
    <row r="2" spans="1:7">
      <c r="A2" s="302"/>
      <c r="B2" s="5" t="s">
        <v>818</v>
      </c>
      <c r="C2" s="3"/>
      <c r="D2" s="175"/>
      <c r="E2" s="3"/>
      <c r="F2" s="3"/>
      <c r="G2" s="25"/>
    </row>
    <row r="3" spans="1:7">
      <c r="A3" s="302"/>
      <c r="B3" s="3" t="s">
        <v>811</v>
      </c>
      <c r="C3" s="5"/>
      <c r="D3" s="176"/>
      <c r="E3" s="3"/>
      <c r="F3" s="5"/>
      <c r="G3" s="25"/>
    </row>
    <row r="4" spans="1:7" ht="15">
      <c r="A4" s="302"/>
      <c r="B4" s="30" t="s">
        <v>820</v>
      </c>
      <c r="C4" s="6"/>
      <c r="D4" s="177"/>
      <c r="E4" s="3"/>
      <c r="F4" s="6"/>
      <c r="G4" s="25"/>
    </row>
    <row r="5" spans="1:7">
      <c r="A5" s="302"/>
      <c r="B5" s="29" t="s">
        <v>1009</v>
      </c>
      <c r="C5" s="4"/>
      <c r="D5" s="178"/>
      <c r="E5" s="3"/>
      <c r="F5" s="4"/>
      <c r="G5" s="25"/>
    </row>
    <row r="6" spans="1:7">
      <c r="A6" s="302"/>
      <c r="B6" s="3"/>
      <c r="C6" s="3"/>
      <c r="D6" s="175"/>
      <c r="E6" s="3"/>
      <c r="F6" s="3"/>
      <c r="G6" s="25"/>
    </row>
    <row r="7" spans="1:7">
      <c r="A7" s="302"/>
      <c r="B7" s="3"/>
      <c r="C7" s="3"/>
      <c r="D7" s="175"/>
      <c r="E7" s="3"/>
      <c r="F7" s="3"/>
      <c r="G7" s="25"/>
    </row>
    <row r="8" spans="1:7">
      <c r="A8" s="302"/>
      <c r="B8" s="3"/>
      <c r="C8" s="3"/>
      <c r="D8" s="175"/>
      <c r="E8" s="3"/>
      <c r="F8" s="3"/>
      <c r="G8" s="25"/>
    </row>
    <row r="9" spans="1:7">
      <c r="A9" s="302"/>
      <c r="B9" s="305" t="s">
        <v>821</v>
      </c>
      <c r="C9" s="305"/>
      <c r="D9" s="305"/>
      <c r="E9" s="305"/>
      <c r="F9" s="305"/>
      <c r="G9" s="25"/>
    </row>
    <row r="10" spans="1:7" ht="27" customHeight="1">
      <c r="A10" s="302"/>
      <c r="B10" s="306" t="s">
        <v>425</v>
      </c>
      <c r="C10" s="306"/>
      <c r="D10" s="306"/>
      <c r="E10" s="306"/>
      <c r="F10" s="306"/>
      <c r="G10" s="25"/>
    </row>
    <row r="11" spans="1:7" ht="27" customHeight="1">
      <c r="A11" s="302"/>
      <c r="B11" s="307"/>
      <c r="C11" s="307"/>
      <c r="D11" s="307"/>
      <c r="E11" s="307"/>
      <c r="F11" s="307"/>
      <c r="G11" s="25"/>
    </row>
    <row r="12" spans="1:7">
      <c r="A12" s="302"/>
      <c r="B12" s="31" t="s">
        <v>819</v>
      </c>
      <c r="C12" s="32" t="s">
        <v>822</v>
      </c>
      <c r="D12" s="179" t="s">
        <v>823</v>
      </c>
      <c r="E12" s="32" t="s">
        <v>595</v>
      </c>
      <c r="F12" s="32" t="s">
        <v>596</v>
      </c>
      <c r="G12" s="25"/>
    </row>
    <row r="13" spans="1:7" ht="20">
      <c r="A13" s="302"/>
      <c r="B13" s="2">
        <v>1</v>
      </c>
      <c r="C13" s="27" t="s">
        <v>1057</v>
      </c>
      <c r="D13" s="28" t="s">
        <v>847</v>
      </c>
      <c r="E13" s="163" t="s">
        <v>824</v>
      </c>
      <c r="F13" s="163"/>
      <c r="G13" s="25"/>
    </row>
    <row r="14" spans="1:7" ht="30">
      <c r="A14" s="302"/>
      <c r="B14" s="2">
        <v>2</v>
      </c>
      <c r="C14" s="27" t="s">
        <v>1057</v>
      </c>
      <c r="D14" s="28" t="s">
        <v>994</v>
      </c>
      <c r="E14" s="163" t="s">
        <v>515</v>
      </c>
      <c r="F14" s="163" t="s">
        <v>516</v>
      </c>
      <c r="G14" s="25"/>
    </row>
    <row r="15" spans="1:7" ht="89.15" customHeight="1">
      <c r="A15" s="302"/>
      <c r="B15" s="308">
        <v>2.0099999999999998</v>
      </c>
      <c r="C15" s="299" t="s">
        <v>1057</v>
      </c>
      <c r="D15" s="311" t="s">
        <v>2198</v>
      </c>
      <c r="E15" s="164" t="s">
        <v>597</v>
      </c>
      <c r="F15" s="164" t="s">
        <v>600</v>
      </c>
      <c r="G15" s="25"/>
    </row>
    <row r="16" spans="1:7" ht="99" customHeight="1">
      <c r="A16" s="302"/>
      <c r="B16" s="309"/>
      <c r="C16" s="300"/>
      <c r="D16" s="312"/>
      <c r="E16" s="165"/>
      <c r="F16" s="165" t="s">
        <v>598</v>
      </c>
      <c r="G16" s="25"/>
    </row>
    <row r="17" spans="1:7" ht="63" customHeight="1">
      <c r="A17" s="302"/>
      <c r="B17" s="310"/>
      <c r="C17" s="301"/>
      <c r="D17" s="313"/>
      <c r="E17" s="27"/>
      <c r="F17" s="27" t="s">
        <v>599</v>
      </c>
      <c r="G17" s="25"/>
    </row>
    <row r="18" spans="1:7" ht="117" customHeight="1">
      <c r="A18" s="302"/>
      <c r="B18" s="308">
        <v>2.02</v>
      </c>
      <c r="C18" s="299" t="s">
        <v>1057</v>
      </c>
      <c r="D18" s="311" t="s">
        <v>2199</v>
      </c>
      <c r="E18" s="164" t="s">
        <v>426</v>
      </c>
      <c r="F18" s="164" t="s">
        <v>510</v>
      </c>
      <c r="G18" s="25"/>
    </row>
    <row r="19" spans="1:7" ht="71.150000000000006" customHeight="1">
      <c r="A19" s="302"/>
      <c r="B19" s="309"/>
      <c r="C19" s="300"/>
      <c r="D19" s="312"/>
      <c r="E19" s="165" t="s">
        <v>514</v>
      </c>
      <c r="F19" s="165" t="s">
        <v>427</v>
      </c>
      <c r="G19" s="25"/>
    </row>
    <row r="20" spans="1:7" ht="90.75" customHeight="1">
      <c r="A20" s="302"/>
      <c r="B20" s="309"/>
      <c r="C20" s="300"/>
      <c r="D20" s="312"/>
      <c r="E20" s="165"/>
      <c r="F20" s="165" t="s">
        <v>602</v>
      </c>
      <c r="G20" s="25"/>
    </row>
    <row r="21" spans="1:7" ht="74.25" customHeight="1">
      <c r="A21" s="302"/>
      <c r="B21" s="310"/>
      <c r="C21" s="301"/>
      <c r="D21" s="313"/>
      <c r="E21" s="27"/>
      <c r="F21" s="27" t="s">
        <v>601</v>
      </c>
      <c r="G21" s="25"/>
    </row>
    <row r="22" spans="1:7" ht="90" customHeight="1">
      <c r="A22" s="302"/>
      <c r="B22" s="293">
        <v>2.0299999999999998</v>
      </c>
      <c r="C22" s="293" t="s">
        <v>794</v>
      </c>
      <c r="D22" s="296" t="s">
        <v>2200</v>
      </c>
      <c r="E22" s="299" t="s">
        <v>424</v>
      </c>
      <c r="F22" s="164" t="s">
        <v>447</v>
      </c>
      <c r="G22" s="25"/>
    </row>
    <row r="23" spans="1:7" ht="109.5" customHeight="1">
      <c r="A23" s="302"/>
      <c r="B23" s="294"/>
      <c r="C23" s="294"/>
      <c r="D23" s="297"/>
      <c r="E23" s="300"/>
      <c r="F23" s="165" t="s">
        <v>795</v>
      </c>
      <c r="G23" s="25"/>
    </row>
    <row r="24" spans="1:7" ht="74.25" customHeight="1">
      <c r="A24" s="302"/>
      <c r="B24" s="295"/>
      <c r="C24" s="295"/>
      <c r="D24" s="298"/>
      <c r="E24" s="301"/>
      <c r="F24" s="27" t="s">
        <v>423</v>
      </c>
      <c r="G24" s="25"/>
    </row>
    <row r="25" spans="1:7" ht="72" customHeight="1">
      <c r="A25" s="302"/>
      <c r="B25" s="2" t="s">
        <v>445</v>
      </c>
      <c r="C25" s="27" t="s">
        <v>446</v>
      </c>
      <c r="D25" s="28" t="s">
        <v>2201</v>
      </c>
      <c r="E25" s="27" t="s">
        <v>2196</v>
      </c>
      <c r="F25" s="27" t="s">
        <v>448</v>
      </c>
      <c r="G25" s="25"/>
    </row>
    <row r="26" spans="1:7" ht="98.15" customHeight="1">
      <c r="A26" s="302"/>
      <c r="B26" s="314">
        <v>3</v>
      </c>
      <c r="C26" s="308" t="s">
        <v>66</v>
      </c>
      <c r="D26" s="311" t="s">
        <v>2202</v>
      </c>
      <c r="E26" s="299" t="s">
        <v>0</v>
      </c>
      <c r="F26" s="164" t="s">
        <v>60</v>
      </c>
      <c r="G26" s="25"/>
    </row>
    <row r="27" spans="1:7" ht="90" customHeight="1">
      <c r="A27" s="302"/>
      <c r="B27" s="315"/>
      <c r="C27" s="309"/>
      <c r="D27" s="312"/>
      <c r="E27" s="300"/>
      <c r="F27" s="165" t="s">
        <v>55</v>
      </c>
      <c r="G27" s="25"/>
    </row>
    <row r="28" spans="1:7" ht="19.399999999999999" customHeight="1">
      <c r="A28" s="302"/>
      <c r="B28" s="315"/>
      <c r="C28" s="309"/>
      <c r="D28" s="312"/>
      <c r="E28" s="300"/>
      <c r="F28" s="165" t="s">
        <v>56</v>
      </c>
      <c r="G28" s="25"/>
    </row>
    <row r="29" spans="1:7" ht="74.5" customHeight="1">
      <c r="A29" s="302"/>
      <c r="B29" s="315"/>
      <c r="C29" s="309"/>
      <c r="D29" s="312"/>
      <c r="E29" s="300"/>
      <c r="F29" s="165" t="s">
        <v>57</v>
      </c>
      <c r="G29" s="25"/>
    </row>
    <row r="30" spans="1:7" ht="62.5" customHeight="1">
      <c r="A30" s="302"/>
      <c r="B30" s="315"/>
      <c r="C30" s="309"/>
      <c r="D30" s="312"/>
      <c r="E30" s="300"/>
      <c r="F30" s="165" t="s">
        <v>58</v>
      </c>
      <c r="G30" s="25"/>
    </row>
    <row r="31" spans="1:7" ht="81" customHeight="1">
      <c r="A31" s="302"/>
      <c r="B31" s="315"/>
      <c r="C31" s="309"/>
      <c r="D31" s="312"/>
      <c r="E31" s="300"/>
      <c r="F31" s="165" t="s">
        <v>59</v>
      </c>
      <c r="G31" s="25"/>
    </row>
    <row r="32" spans="1:7" ht="48.75" customHeight="1">
      <c r="A32" s="302"/>
      <c r="B32" s="315"/>
      <c r="C32" s="309"/>
      <c r="D32" s="312"/>
      <c r="E32" s="300"/>
      <c r="F32" s="165" t="s">
        <v>62</v>
      </c>
      <c r="G32" s="25"/>
    </row>
    <row r="33" spans="1:7" ht="98.5" customHeight="1">
      <c r="A33" s="302"/>
      <c r="B33" s="315"/>
      <c r="C33" s="309"/>
      <c r="D33" s="312"/>
      <c r="E33" s="300"/>
      <c r="F33" s="165" t="s">
        <v>61</v>
      </c>
      <c r="G33" s="25"/>
    </row>
    <row r="34" spans="1:7" ht="89.15" customHeight="1">
      <c r="A34" s="302"/>
      <c r="B34" s="315"/>
      <c r="C34" s="309"/>
      <c r="D34" s="312"/>
      <c r="E34" s="300"/>
      <c r="F34" s="165" t="s">
        <v>63</v>
      </c>
      <c r="G34" s="25"/>
    </row>
    <row r="35" spans="1:7" ht="29.15" customHeight="1">
      <c r="A35" s="302"/>
      <c r="B35" s="315"/>
      <c r="C35" s="309"/>
      <c r="D35" s="312"/>
      <c r="E35" s="300"/>
      <c r="F35" s="165" t="s">
        <v>64</v>
      </c>
      <c r="G35" s="25"/>
    </row>
    <row r="36" spans="1:7" ht="121">
      <c r="A36" s="302"/>
      <c r="B36" s="316"/>
      <c r="C36" s="310"/>
      <c r="D36" s="313"/>
      <c r="E36" s="301"/>
      <c r="F36" s="166" t="s">
        <v>65</v>
      </c>
      <c r="G36" s="25"/>
    </row>
    <row r="37" spans="1:7" ht="100">
      <c r="A37" s="302"/>
      <c r="B37" s="141">
        <v>3.01</v>
      </c>
      <c r="C37" s="142" t="s">
        <v>66</v>
      </c>
      <c r="D37" s="28" t="s">
        <v>2203</v>
      </c>
      <c r="E37" s="167" t="s">
        <v>1294</v>
      </c>
      <c r="F37" s="168" t="s">
        <v>1396</v>
      </c>
      <c r="G37" s="25"/>
    </row>
    <row r="38" spans="1:7" ht="90">
      <c r="A38" s="302"/>
      <c r="B38" s="141">
        <v>3.02</v>
      </c>
      <c r="C38" s="142" t="s">
        <v>1326</v>
      </c>
      <c r="D38" s="28" t="s">
        <v>2204</v>
      </c>
      <c r="E38" s="167" t="s">
        <v>1341</v>
      </c>
      <c r="F38" s="168" t="s">
        <v>1397</v>
      </c>
      <c r="G38" s="25"/>
    </row>
    <row r="39" spans="1:7" ht="80">
      <c r="A39" s="302"/>
      <c r="B39" s="150">
        <v>4</v>
      </c>
      <c r="C39" s="149" t="s">
        <v>1492</v>
      </c>
      <c r="D39" s="28" t="s">
        <v>2205</v>
      </c>
      <c r="E39" s="27" t="s">
        <v>2151</v>
      </c>
      <c r="F39" s="27" t="s">
        <v>1493</v>
      </c>
      <c r="G39" s="25"/>
    </row>
    <row r="40" spans="1:7" ht="50">
      <c r="A40" s="302"/>
      <c r="B40" s="141">
        <v>4.01</v>
      </c>
      <c r="C40" s="149" t="s">
        <v>1492</v>
      </c>
      <c r="D40" s="28" t="s">
        <v>2207</v>
      </c>
      <c r="E40" s="27" t="s">
        <v>2163</v>
      </c>
      <c r="F40" s="27" t="s">
        <v>2167</v>
      </c>
      <c r="G40" s="25"/>
    </row>
    <row r="41" spans="1:7" ht="50">
      <c r="A41" s="302"/>
      <c r="B41" s="141" t="s">
        <v>2194</v>
      </c>
      <c r="C41" s="149" t="s">
        <v>1492</v>
      </c>
      <c r="D41" s="28" t="s">
        <v>2206</v>
      </c>
      <c r="E41" s="27" t="s">
        <v>2197</v>
      </c>
      <c r="F41" s="27" t="s">
        <v>2195</v>
      </c>
      <c r="G41" s="25"/>
    </row>
    <row r="42" spans="1:7" ht="50">
      <c r="A42" s="302"/>
      <c r="B42" s="141" t="s">
        <v>2228</v>
      </c>
      <c r="C42" s="149" t="s">
        <v>1492</v>
      </c>
      <c r="D42" s="28" t="s">
        <v>2233</v>
      </c>
      <c r="E42" s="27" t="s">
        <v>2196</v>
      </c>
      <c r="F42" s="27" t="s">
        <v>2229</v>
      </c>
      <c r="G42" s="25"/>
    </row>
    <row r="43" spans="1:7" ht="110">
      <c r="A43" s="302"/>
      <c r="B43" s="160">
        <v>4.0999999999999996</v>
      </c>
      <c r="C43" s="149" t="s">
        <v>2232</v>
      </c>
      <c r="D43" s="161">
        <v>42867</v>
      </c>
      <c r="E43" s="169" t="s">
        <v>2235</v>
      </c>
      <c r="F43" s="27" t="s">
        <v>2234</v>
      </c>
      <c r="G43" s="25"/>
    </row>
    <row r="44" spans="1:7" ht="70">
      <c r="A44" s="302"/>
      <c r="B44" s="160">
        <v>4.2</v>
      </c>
      <c r="C44" s="149" t="s">
        <v>2232</v>
      </c>
      <c r="D44" s="161">
        <v>42704</v>
      </c>
      <c r="E44" s="169" t="s">
        <v>2431</v>
      </c>
      <c r="F44" s="27" t="s">
        <v>2406</v>
      </c>
      <c r="G44" s="25"/>
    </row>
    <row r="45" spans="1:7" ht="130">
      <c r="A45" s="302"/>
      <c r="B45" s="202">
        <v>5</v>
      </c>
      <c r="C45" s="149" t="s">
        <v>2232</v>
      </c>
      <c r="D45" s="161">
        <v>42867</v>
      </c>
      <c r="E45" s="169" t="s">
        <v>12652</v>
      </c>
      <c r="F45" s="27" t="s">
        <v>12374</v>
      </c>
      <c r="G45" s="25"/>
    </row>
    <row r="46" spans="1:7" ht="30">
      <c r="A46" s="302"/>
      <c r="B46" s="160">
        <v>5.01</v>
      </c>
      <c r="C46" s="149" t="s">
        <v>2232</v>
      </c>
      <c r="D46" s="161">
        <v>42907</v>
      </c>
      <c r="E46" s="169" t="s">
        <v>15329</v>
      </c>
      <c r="F46" s="27" t="s">
        <v>12374</v>
      </c>
      <c r="G46" s="25"/>
    </row>
    <row r="47" spans="1:7" ht="60">
      <c r="A47" s="302"/>
      <c r="B47" s="160">
        <v>5.0999999999999996</v>
      </c>
      <c r="C47" s="149" t="s">
        <v>2232</v>
      </c>
      <c r="D47" s="161">
        <v>43070</v>
      </c>
      <c r="E47" s="169" t="s">
        <v>12862</v>
      </c>
      <c r="F47" s="27" t="s">
        <v>12863</v>
      </c>
      <c r="G47" s="25"/>
    </row>
    <row r="48" spans="1:7" ht="50">
      <c r="A48" s="302"/>
      <c r="B48" s="160">
        <v>5.1100000000000003</v>
      </c>
      <c r="C48" s="149" t="s">
        <v>13097</v>
      </c>
      <c r="D48" s="161">
        <v>43217</v>
      </c>
      <c r="E48" s="169" t="s">
        <v>13199</v>
      </c>
      <c r="F48" s="27" t="s">
        <v>13124</v>
      </c>
      <c r="G48" s="25"/>
    </row>
    <row r="49" spans="1:7" ht="50">
      <c r="A49" s="302"/>
      <c r="B49" s="160">
        <v>5.12</v>
      </c>
      <c r="C49" s="149" t="s">
        <v>13097</v>
      </c>
      <c r="D49" s="161">
        <v>43581</v>
      </c>
      <c r="E49" s="169" t="s">
        <v>13199</v>
      </c>
      <c r="F49" s="27" t="s">
        <v>13741</v>
      </c>
      <c r="G49" s="25"/>
    </row>
    <row r="50" spans="1:7" ht="70">
      <c r="A50" s="302"/>
      <c r="B50" s="202">
        <v>6</v>
      </c>
      <c r="C50" s="149" t="s">
        <v>13097</v>
      </c>
      <c r="D50" s="161">
        <v>43964</v>
      </c>
      <c r="E50" s="169" t="s">
        <v>13953</v>
      </c>
      <c r="F50" s="27" t="s">
        <v>13744</v>
      </c>
      <c r="G50" s="25"/>
    </row>
    <row r="51" spans="1:7" ht="40">
      <c r="A51" s="302"/>
      <c r="B51" s="160">
        <v>6.01</v>
      </c>
      <c r="C51" s="149" t="s">
        <v>13097</v>
      </c>
      <c r="D51" s="161">
        <v>43970</v>
      </c>
      <c r="E51" s="169" t="s">
        <v>15330</v>
      </c>
      <c r="F51" s="169" t="s">
        <v>13744</v>
      </c>
      <c r="G51" s="25"/>
    </row>
    <row r="52" spans="1:7" ht="40">
      <c r="A52" s="302"/>
      <c r="B52" s="160">
        <v>6.1</v>
      </c>
      <c r="C52" s="149" t="s">
        <v>13097</v>
      </c>
      <c r="D52" s="161">
        <v>44314</v>
      </c>
      <c r="E52" s="169" t="s">
        <v>15323</v>
      </c>
      <c r="F52" s="169" t="s">
        <v>14913</v>
      </c>
      <c r="G52" s="25"/>
    </row>
    <row r="53" spans="1:7" ht="40">
      <c r="A53" s="302"/>
      <c r="B53" s="160">
        <v>6.2</v>
      </c>
      <c r="C53" s="149" t="s">
        <v>13097</v>
      </c>
      <c r="D53" s="161">
        <v>44678</v>
      </c>
      <c r="E53" s="169" t="s">
        <v>15323</v>
      </c>
      <c r="F53" s="169" t="s">
        <v>15322</v>
      </c>
      <c r="G53" s="25"/>
    </row>
    <row r="54" spans="1:7" ht="40">
      <c r="A54" s="302"/>
      <c r="B54" s="160">
        <v>6.21</v>
      </c>
      <c r="C54" s="149" t="s">
        <v>13097</v>
      </c>
      <c r="D54" s="161">
        <v>44687</v>
      </c>
      <c r="E54" s="169" t="s">
        <v>15331</v>
      </c>
      <c r="F54" s="169" t="s">
        <v>15322</v>
      </c>
      <c r="G54" s="25"/>
    </row>
    <row r="55" spans="1:7" ht="40">
      <c r="A55" s="302"/>
      <c r="B55" s="160">
        <v>6.22</v>
      </c>
      <c r="C55" s="149" t="s">
        <v>13097</v>
      </c>
      <c r="D55" s="275">
        <v>44692</v>
      </c>
      <c r="E55" s="169" t="s">
        <v>15330</v>
      </c>
      <c r="F55" s="169" t="s">
        <v>15322</v>
      </c>
      <c r="G55" s="25"/>
    </row>
    <row r="56" spans="1:7" ht="50">
      <c r="A56" s="302"/>
      <c r="B56" s="202">
        <v>6.3</v>
      </c>
      <c r="C56" s="149" t="s">
        <v>13097</v>
      </c>
      <c r="D56" s="275">
        <v>45051</v>
      </c>
      <c r="E56" s="169" t="s">
        <v>15590</v>
      </c>
      <c r="F56" s="169" t="s">
        <v>15371</v>
      </c>
      <c r="G56" s="25"/>
    </row>
    <row r="57" spans="1:7" ht="40">
      <c r="A57" s="302"/>
      <c r="B57" s="160">
        <v>6.31</v>
      </c>
      <c r="C57" s="149" t="s">
        <v>13097</v>
      </c>
      <c r="D57" s="275">
        <v>45072</v>
      </c>
      <c r="E57" s="169" t="s">
        <v>15592</v>
      </c>
      <c r="F57" s="169" t="s">
        <v>15371</v>
      </c>
      <c r="G57" s="25"/>
    </row>
    <row r="58" spans="1:7" ht="40.5" customHeight="1">
      <c r="A58" s="302"/>
      <c r="B58" s="202">
        <v>6.4</v>
      </c>
      <c r="C58" s="149" t="s">
        <v>13097</v>
      </c>
      <c r="D58" s="275">
        <v>45408</v>
      </c>
      <c r="E58" s="169" t="s">
        <v>15594</v>
      </c>
      <c r="F58" s="169" t="s">
        <v>15593</v>
      </c>
      <c r="G58" s="25"/>
    </row>
    <row r="59" spans="1:7" ht="32.5" customHeight="1">
      <c r="A59" s="302"/>
      <c r="B59" s="202">
        <v>6.5</v>
      </c>
      <c r="C59" s="149" t="s">
        <v>13097</v>
      </c>
      <c r="D59" s="275">
        <v>45772</v>
      </c>
      <c r="E59" s="169" t="s">
        <v>15669</v>
      </c>
      <c r="F59" s="169" t="s">
        <v>15720</v>
      </c>
      <c r="G59" s="25"/>
    </row>
    <row r="60" spans="1:7" ht="14" thickBot="1">
      <c r="A60" s="303"/>
      <c r="B60" s="304" t="str">
        <f ca="1">OFFSET(L!$C$1,MATCH("General"&amp;"Cpy",L!$A:$A,0)-1,SL,,)</f>
        <v>© 2025 Responsible Minerals Initiative. All rights reserved.</v>
      </c>
      <c r="C60" s="304"/>
      <c r="D60" s="304"/>
      <c r="E60" s="304"/>
      <c r="F60" s="304"/>
      <c r="G60" s="26"/>
    </row>
    <row r="61" spans="1:7" ht="14" thickTop="1"/>
  </sheetData>
  <sheetProtection algorithmName="SHA-512" hashValue="QT9CxjsbBs2mhj26/2KRLh5gj1jmpLCnH1jPjbgQlTg+01Y07aSyWQYcMWbb2u86KNCa/cUEmU9taMachXT5OA==" saltValue="c+YYfXnc/jplXt05Ra9sh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6:C36"/>
    <mergeCell ref="B26:B36"/>
    <mergeCell ref="B22:B24"/>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4375" defaultRowHeight="13.5"/>
  <cols>
    <col min="1" max="1" width="20.61328125" style="65" customWidth="1"/>
    <col min="2" max="2" width="57.15234375" style="65" customWidth="1"/>
    <col min="3" max="16384" width="8.843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872398E9-4DCA-4DB3-B943-048D1977E55C}"/>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4375" defaultRowHeight="13.5"/>
  <cols>
    <col min="1" max="1" width="11.15234375" customWidth="1"/>
    <col min="2" max="2" width="25.69140625" customWidth="1"/>
    <col min="3" max="3" width="11.92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B74CA490-1D47-4C96-8C26-68C554C27C74}"/>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4375" defaultRowHeight="13.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0">
      <c r="A2" s="105" t="str">
        <f ca="1">OFFSET(L!$C$1,MATCH("Instructions"&amp;ADDRESS(ROW(),COLUMN(),4),L!$A:$A,0)-1,SL,,)</f>
        <v>Introduction</v>
      </c>
      <c r="B2" s="100" t="s">
        <v>1270</v>
      </c>
    </row>
    <row r="3" spans="1:2" ht="150">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5"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
      <c r="A5" s="106"/>
      <c r="B5" s="100"/>
    </row>
    <row r="6" spans="1:2" ht="30">
      <c r="A6" s="105" t="str">
        <f ca="1">OFFSET(L!$C$1,MATCH("Instructions"&amp;ADDRESS(ROW(),COLUMN(),4),L!$A:$A,0)-1,SL,,)</f>
        <v>Instructions for completing Company Information questions (rows 8 - 22).
Provide comments in ENGLISH only</v>
      </c>
      <c r="B6" s="100" t="s">
        <v>1270</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5"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1270</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1270</v>
      </c>
    </row>
    <row r="24" spans="1:2" ht="80.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5"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0">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2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5"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5"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65">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
      <c r="A47" s="106"/>
      <c r="B47" s="100"/>
    </row>
    <row r="48" spans="1:2" ht="30">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5" customHeight="1">
      <c r="A52" s="102" t="str">
        <f ca="1">OFFSET(L!$C$1,MATCH("Instructions"&amp;ADDRESS(ROW(),COLUMN(),4),L!$A:$A,0)-1,SL,,)</f>
        <v>2. Metal (*)   -   Use the pull down menu to select the metal for which you are entering smelter information.  This field is mandatory.</v>
      </c>
      <c r="B52" s="100"/>
    </row>
    <row r="53" spans="1:2" ht="79"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0">
      <c r="A58" s="102" t="str">
        <f ca="1">OFFSET(L!$C$1,MATCH("Instructions"&amp;ADDRESS(ROW(),COLUMN(),4),L!$A:$A,0)-1,SL,,)</f>
        <v>8. Smelter Street -  Provide the street name on which the smelter is located. This field is optional.</v>
      </c>
      <c r="B58" s="100" t="s">
        <v>1269</v>
      </c>
    </row>
    <row r="59" spans="1:2" ht="30">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5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2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5"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5"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4"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2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5"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5">
      <c r="A10" s="74"/>
      <c r="B10" s="63" t="str">
        <f ca="1">OFFSET(L!$C$1,MATCH("Definitions"&amp;ADDRESS(ROW(),COLUMN(),4),L!$A:$A,0)-1,SL,,)</f>
        <v>DRC</v>
      </c>
      <c r="C10" s="63" t="str">
        <f ca="1">OFFSET(L!$C$1,MATCH("Definitions"&amp;ADDRESS(ROW(),COLUMN(),4),L!$A:$A,0)-1,SL,,)</f>
        <v>Democratic Republic of Congo</v>
      </c>
      <c r="D10" s="321"/>
      <c r="E10" s="100" t="s">
        <v>1278</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20">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30">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5"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60">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3"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5">
      <c r="A32" s="74"/>
      <c r="B32" s="320" t="str">
        <f ca="1">OFFSET(L!$C$1,MATCH("General"&amp;"Cpy",L!$A:$A,0)-1,SL,,)</f>
        <v>© 2025 Responsible Minerals Initiative. All rights reserved.</v>
      </c>
      <c r="C32" s="320"/>
      <c r="D32" s="321"/>
      <c r="E32" s="100"/>
    </row>
    <row r="33" spans="1:4" ht="14" thickBot="1">
      <c r="A33" s="75"/>
      <c r="B33" s="153"/>
      <c r="C33" s="153"/>
      <c r="D33" s="322"/>
    </row>
    <row r="34" spans="1:4" ht="14" thickTop="1"/>
  </sheetData>
  <sheetProtection algorithmName="SHA-512" hashValue="SWOkQrZ6uwh6cv2N6ozS1H455taVbtswAwrLcfogt/ssVBHSXk1nIUGGsEI6WxT1Z+SGnA0yyv9vpR6CxFY5BQ==" saltValue="4+do9j+x3hIQtacefDrGc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69" zoomScalePageLayoutView="70" workbookViewId="0">
      <selection activeCell="G85" sqref="G85:J85"/>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5"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4"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70"/>
      <c r="G3" s="370"/>
      <c r="H3" s="370"/>
      <c r="I3" s="152"/>
      <c r="J3" s="138" t="s">
        <v>15733</v>
      </c>
      <c r="K3" s="36"/>
      <c r="L3" s="100"/>
      <c r="P3" s="45">
        <f>MATCH($D$3,LN,0)</f>
        <v>1</v>
      </c>
    </row>
    <row r="4" spans="1:34" ht="15">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430</v>
      </c>
      <c r="P6" s="3"/>
      <c r="Q6" s="3"/>
      <c r="R6" s="3"/>
      <c r="S6" s="3"/>
      <c r="T6" s="3"/>
      <c r="U6" s="3"/>
      <c r="V6" s="3"/>
      <c r="W6" s="3"/>
      <c r="X6" s="3"/>
      <c r="Y6" s="3"/>
      <c r="Z6" s="3"/>
      <c r="AA6" s="3"/>
      <c r="AB6" s="3"/>
      <c r="AC6" s="3"/>
      <c r="AD6" s="3"/>
      <c r="AE6" s="3"/>
      <c r="AF6" s="3"/>
      <c r="AG6" s="3"/>
      <c r="AH6" s="3"/>
    </row>
    <row r="7" spans="1:34" ht="37"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5">
      <c r="A8" s="38"/>
      <c r="B8" s="73" t="str">
        <f ca="1">OFFSET(L!$C$1,MATCH("Declaration"&amp;ADDRESS(ROW(),COLUMN(),4),L!$A:$A,0)-1,SL,,)</f>
        <v>Company Name (*):</v>
      </c>
      <c r="C8" s="76"/>
      <c r="D8" s="363" t="s">
        <v>15817</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5">
      <c r="A9" s="38"/>
      <c r="B9" s="73" t="str">
        <f ca="1">OFFSET(L!$C$1,MATCH("Declaration"&amp;ADDRESS(ROW(),COLUMN(),4),L!$A:$A,0)-1,SL,,)</f>
        <v>Declaration Scope or Class (*):</v>
      </c>
      <c r="C9" s="76"/>
      <c r="D9" s="372" t="s">
        <v>481</v>
      </c>
      <c r="E9" s="373"/>
      <c r="F9" s="373"/>
      <c r="G9" s="374"/>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5" customHeight="1">
      <c r="A10" s="38"/>
      <c r="B10" s="376" t="str">
        <f ca="1">OFFSET(L!$C$1,MATCH("Declaration"&amp;ADDRESS(ROW(),COLUMN(),4)&amp;LEFT($D$9,1),L!$A:$A,0)-1,SL,,)</f>
        <v>Description of Scope:</v>
      </c>
      <c r="C10" s="122"/>
      <c r="D10" s="367"/>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5">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5">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
      <c r="A14" s="38"/>
      <c r="B14" s="40" t="str">
        <f ca="1">OFFSET(L!$C$1,MATCH("Declaration"&amp;ADDRESS(ROW(),COLUMN(),4),L!$A:$A,0)-1,SL,,)</f>
        <v>Address:</v>
      </c>
      <c r="C14" s="77"/>
      <c r="D14" s="350" t="s">
        <v>15818</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
      <c r="A15" s="38"/>
      <c r="B15" s="40" t="str">
        <f ca="1">OFFSET(L!$C$1,MATCH("Declaration"&amp;ADDRESS(ROW(),COLUMN(),4),L!$A:$A,0)-1,SL,,)</f>
        <v>Contact Name (*):</v>
      </c>
      <c r="C15" s="77"/>
      <c r="D15" s="350" t="s">
        <v>15819</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
      <c r="A16" s="38"/>
      <c r="B16" s="40" t="str">
        <f ca="1">OFFSET(L!$C$1,MATCH("Declaration"&amp;ADDRESS(ROW(),COLUMN(),4),L!$A:$A,0)-1,SL,,)</f>
        <v>Email – Contact (*):</v>
      </c>
      <c r="C16" s="77"/>
      <c r="D16" s="378" t="s">
        <v>15820</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5">
      <c r="A17" s="38"/>
      <c r="B17" s="40" t="str">
        <f ca="1">OFFSET(L!$C$1,MATCH("Declaration"&amp;ADDRESS(ROW(),COLUMN(),4),L!$A:$A,0)-1,SL,,)</f>
        <v>Phone – Contact (*):</v>
      </c>
      <c r="C17" s="77"/>
      <c r="D17" s="350" t="s">
        <v>15821</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3">
      <c r="A18" s="38"/>
      <c r="B18" s="40" t="str">
        <f ca="1">OFFSET(L!$C$1,MATCH("Declaration"&amp;ADDRESS(ROW(),COLUMN(),4),L!$A:$A,0)-1,SL,,)</f>
        <v>Authorizer (*):</v>
      </c>
      <c r="C18" s="77"/>
      <c r="D18" s="323" t="s">
        <v>15822</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3">
      <c r="A19" s="38"/>
      <c r="B19" s="40" t="str">
        <f ca="1">OFFSET(L!$C$1,MATCH("Declaration"&amp;ADDRESS(ROW(),COLUMN(),4),L!$A:$A,0)-1,SL,,)</f>
        <v>Title - Authorizer:</v>
      </c>
      <c r="C19" s="77"/>
      <c r="D19" s="350" t="s">
        <v>15823</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3">
      <c r="A20" s="38"/>
      <c r="B20" s="40" t="str">
        <f ca="1">OFFSET(L!$C$1,MATCH("Declaration"&amp;ADDRESS(ROW(),COLUMN(),4),L!$A:$A,0)-1,SL,,)</f>
        <v>Email - Authorizer (*):</v>
      </c>
      <c r="C20" s="77"/>
      <c r="D20" s="378" t="s">
        <v>15824</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5">
      <c r="A21" s="38"/>
      <c r="B21" s="40" t="str">
        <f ca="1">OFFSET(L!$C$1,MATCH("Declaration"&amp;ADDRESS(ROW(),COLUMN(),4),L!$A:$A,0)-1,SL,,)</f>
        <v>Phone - Authorizer:</v>
      </c>
      <c r="C21" s="133"/>
      <c r="D21" s="381"/>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7.5">
      <c r="A22" s="38"/>
      <c r="B22" s="40" t="str">
        <f ca="1">OFFSET(L!$C$1,MATCH("Declaration"&amp;ADDRESS(ROW(),COLUMN(),4),L!$A:$A,0)-1,SL,,)</f>
        <v>Effective Date (*):</v>
      </c>
      <c r="C22" s="78"/>
      <c r="D22" s="384">
        <v>45992</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5">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5"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3">
      <c r="A26" s="41"/>
      <c r="B26" s="40" t="str">
        <f ca="1">OFFSET(L!$C$1,MATCH("Declaration"&amp;ADDRESS(ROW(),COLUMN(),4),L!$A:$A,0)-1,SL,,)&amp;P26</f>
        <v>Tantalum  (*)</v>
      </c>
      <c r="C26" s="35"/>
      <c r="D26" s="326" t="s">
        <v>475</v>
      </c>
      <c r="E26" s="327"/>
      <c r="F26" s="12"/>
      <c r="G26" s="328" t="s">
        <v>15825</v>
      </c>
      <c r="H26" s="329"/>
      <c r="I26" s="329"/>
      <c r="J26" s="330"/>
      <c r="K26" s="36"/>
      <c r="L26" s="116"/>
      <c r="P26" s="45" t="str">
        <f>IF(D$26="No","","(*)")</f>
        <v>(*)</v>
      </c>
      <c r="R26" s="3"/>
      <c r="S26" s="3"/>
      <c r="T26" s="3"/>
      <c r="U26" s="3"/>
      <c r="V26" s="3"/>
      <c r="W26" s="3"/>
      <c r="X26" s="3"/>
      <c r="Y26" s="3"/>
      <c r="Z26" s="3"/>
      <c r="AA26" s="3"/>
      <c r="AB26" s="3"/>
      <c r="AC26" s="3"/>
      <c r="AD26" s="3"/>
      <c r="AE26" s="3"/>
      <c r="AF26" s="3"/>
      <c r="AG26" s="3"/>
      <c r="AH26" s="3"/>
    </row>
    <row r="27" spans="1:34" ht="23">
      <c r="A27" s="41"/>
      <c r="B27" s="40" t="str">
        <f ca="1">OFFSET(L!$C$1,MATCH("Declaration"&amp;ADDRESS(ROW(),COLUMN(),4),L!$A:$A,0)-1,SL,,)&amp;P27</f>
        <v>Tin  (*)</v>
      </c>
      <c r="C27" s="35"/>
      <c r="D27" s="326" t="s">
        <v>475</v>
      </c>
      <c r="E27" s="327"/>
      <c r="F27" s="12"/>
      <c r="G27" s="328" t="s">
        <v>15825</v>
      </c>
      <c r="H27" s="329"/>
      <c r="I27" s="329"/>
      <c r="J27" s="330"/>
      <c r="K27" s="36"/>
      <c r="L27" s="116"/>
      <c r="P27" s="45" t="str">
        <f>IF(D$27="No","","(*)")</f>
        <v>(*)</v>
      </c>
      <c r="R27" s="3"/>
      <c r="S27" s="3"/>
      <c r="T27" s="3"/>
      <c r="U27" s="3"/>
      <c r="V27" s="3"/>
      <c r="W27" s="3"/>
      <c r="X27" s="3"/>
      <c r="Y27" s="3"/>
      <c r="Z27" s="3"/>
      <c r="AA27" s="3"/>
      <c r="AB27" s="3"/>
      <c r="AC27" s="3"/>
      <c r="AD27" s="3"/>
      <c r="AE27" s="3"/>
      <c r="AF27" s="3"/>
      <c r="AG27" s="3"/>
      <c r="AH27" s="3"/>
    </row>
    <row r="28" spans="1:34" ht="23">
      <c r="A28" s="41"/>
      <c r="B28" s="40" t="str">
        <f ca="1">OFFSET(L!$C$1,MATCH("Declaration"&amp;ADDRESS(ROW(),COLUMN(),4),L!$A:$A,0)-1,SL,,)&amp;P28</f>
        <v>Gold  (*)</v>
      </c>
      <c r="C28" s="35"/>
      <c r="D28" s="326" t="s">
        <v>475</v>
      </c>
      <c r="E28" s="327"/>
      <c r="F28" s="12"/>
      <c r="G28" s="328" t="s">
        <v>15825</v>
      </c>
      <c r="H28" s="329"/>
      <c r="I28" s="329"/>
      <c r="J28" s="330"/>
      <c r="K28" s="36"/>
      <c r="L28" s="116"/>
      <c r="P28" s="45" t="str">
        <f>IF(D$28="No","","(*)")</f>
        <v>(*)</v>
      </c>
      <c r="R28" s="3"/>
      <c r="S28" s="3"/>
      <c r="T28" s="3"/>
      <c r="U28" s="3"/>
      <c r="V28" s="3"/>
      <c r="W28" s="3"/>
      <c r="X28" s="3"/>
      <c r="Y28" s="3"/>
      <c r="Z28" s="3"/>
      <c r="AA28" s="3"/>
      <c r="AB28" s="3"/>
      <c r="AC28" s="3"/>
      <c r="AD28" s="3"/>
      <c r="AE28" s="3"/>
      <c r="AF28" s="3"/>
      <c r="AG28" s="3"/>
      <c r="AH28" s="3"/>
    </row>
    <row r="29" spans="1:34" ht="23">
      <c r="A29" s="41"/>
      <c r="B29" s="40" t="str">
        <f ca="1">OFFSET(L!$C$1,MATCH("Declaration"&amp;ADDRESS(ROW(),COLUMN(),4),L!$A:$A,0)-1,SL,,)&amp;P29</f>
        <v>Tungsten  (*)</v>
      </c>
      <c r="C29" s="35"/>
      <c r="D29" s="326" t="s">
        <v>475</v>
      </c>
      <c r="E29" s="327"/>
      <c r="F29" s="12"/>
      <c r="G29" s="328" t="s">
        <v>15825</v>
      </c>
      <c r="H29" s="329"/>
      <c r="I29" s="329"/>
      <c r="J29" s="330"/>
      <c r="K29" s="36"/>
      <c r="L29" s="116"/>
      <c r="P29" s="45" t="str">
        <f>IF(D$29="No","","(*)")</f>
        <v>(*)</v>
      </c>
      <c r="R29" s="3"/>
      <c r="S29" s="3"/>
      <c r="T29" s="3"/>
      <c r="U29" s="3"/>
      <c r="V29" s="3"/>
      <c r="W29" s="3"/>
      <c r="X29" s="3"/>
      <c r="Y29" s="3"/>
      <c r="Z29" s="3"/>
      <c r="AA29" s="3"/>
      <c r="AB29" s="3"/>
      <c r="AC29" s="3"/>
      <c r="AD29" s="3"/>
      <c r="AE29" s="3"/>
      <c r="AF29" s="3"/>
      <c r="AG29" s="3"/>
      <c r="AH29" s="3"/>
    </row>
    <row r="30" spans="1:34" ht="17.5">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5" customHeight="1">
      <c r="A31" s="41"/>
      <c r="B31" s="44" t="str">
        <f ca="1">OFFSET(L!$C$1,MATCH("Declaration"&amp;ADDRESS(ROW(),COLUMN(),4),L!$A:$A,0)-1,SL,,)&amp;Q$37</f>
        <v>2) Does any 3TG remain in the product(s)? (*)</v>
      </c>
      <c r="C31" s="10"/>
      <c r="D31" s="335" t="str">
        <f ca="1">D25</f>
        <v>Answer</v>
      </c>
      <c r="E31" s="335"/>
      <c r="F31" s="18"/>
      <c r="G31" s="44" t="str">
        <f ca="1">G25</f>
        <v>Comments</v>
      </c>
      <c r="H31" s="44"/>
      <c r="I31" s="44"/>
      <c r="J31" s="83"/>
      <c r="K31" s="36"/>
      <c r="L31" s="111" t="s">
        <v>1209</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3">
      <c r="A32" s="41"/>
      <c r="B32" s="40" t="str">
        <f ca="1">B26</f>
        <v>Tantalum  (*)</v>
      </c>
      <c r="C32" s="10"/>
      <c r="D32" s="345" t="s">
        <v>475</v>
      </c>
      <c r="E32" s="346"/>
      <c r="F32" s="47"/>
      <c r="G32" s="328" t="s">
        <v>15825</v>
      </c>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3">
      <c r="A33" s="41"/>
      <c r="B33" s="40" t="str">
        <f ca="1">B27</f>
        <v>Tin  (*)</v>
      </c>
      <c r="C33" s="10"/>
      <c r="D33" s="326" t="s">
        <v>475</v>
      </c>
      <c r="E33" s="327"/>
      <c r="F33" s="47"/>
      <c r="G33" s="328" t="s">
        <v>15825</v>
      </c>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3">
      <c r="A34" s="41"/>
      <c r="B34" s="40" t="str">
        <f ca="1">B28</f>
        <v>Gold  (*)</v>
      </c>
      <c r="C34" s="10"/>
      <c r="D34" s="326" t="s">
        <v>475</v>
      </c>
      <c r="E34" s="327"/>
      <c r="F34" s="47"/>
      <c r="G34" s="328" t="s">
        <v>15825</v>
      </c>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3">
      <c r="A35" s="41"/>
      <c r="B35" s="40" t="str">
        <f ca="1">B29</f>
        <v>Tungsten  (*)</v>
      </c>
      <c r="C35" s="10"/>
      <c r="D35" s="326" t="s">
        <v>475</v>
      </c>
      <c r="E35" s="327"/>
      <c r="F35" s="47"/>
      <c r="G35" s="328" t="s">
        <v>15825</v>
      </c>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7.5">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5" customHeight="1">
      <c r="A37" s="41"/>
      <c r="B37" s="44" t="str">
        <f ca="1">OFFSET(L!$C$1,MATCH("Declaration"&amp;ADDRESS(ROW(),COLUMN(),4),L!$A:$A,0)-1,SL,,)&amp;Q$37</f>
        <v>3) Do any of the smelters in your supply chain source the 3TG from the covered countries? (SEC term, see definitions tab) (*)</v>
      </c>
      <c r="C37" s="10"/>
      <c r="D37" s="335" t="str">
        <f ca="1">D25</f>
        <v>Answer</v>
      </c>
      <c r="E37" s="335"/>
      <c r="F37" s="18"/>
      <c r="G37" s="44" t="str">
        <f ca="1">G25</f>
        <v>Comments</v>
      </c>
      <c r="H37" s="349"/>
      <c r="I37" s="349"/>
      <c r="J37" s="349"/>
      <c r="K37" s="36"/>
      <c r="L37" s="111" t="s">
        <v>1209</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3">
      <c r="A38" s="41"/>
      <c r="B38" s="40" t="str">
        <f ca="1">OFFSET(L!$C$1,MATCH("Declaration"&amp;ADDRESS(ROW(),COLUMN(),4),L!$A:$A,0)-1,SL,,)&amp;P38</f>
        <v>Tantalum  (*)</v>
      </c>
      <c r="C38" s="10"/>
      <c r="D38" s="326" t="s">
        <v>475</v>
      </c>
      <c r="E38" s="327"/>
      <c r="F38" s="47"/>
      <c r="G38" s="328" t="s">
        <v>15826</v>
      </c>
      <c r="H38" s="329"/>
      <c r="I38" s="329"/>
      <c r="J38" s="330"/>
      <c r="K38" s="36"/>
      <c r="L38" s="116"/>
      <c r="P38" s="45" t="str">
        <f>IF((OR(D$26="No",D$32="No")),"","(*)")</f>
        <v>(*)</v>
      </c>
      <c r="Q38" s="3"/>
      <c r="R38" s="3"/>
      <c r="S38" s="3"/>
      <c r="T38" s="3"/>
      <c r="U38" s="3"/>
      <c r="V38" s="3"/>
      <c r="W38" s="3"/>
      <c r="X38" s="3"/>
      <c r="Y38" s="3"/>
      <c r="Z38" s="3"/>
      <c r="AA38" s="3"/>
      <c r="AB38" s="3"/>
      <c r="AC38" s="3"/>
      <c r="AD38" s="3"/>
      <c r="AE38" s="3"/>
      <c r="AF38" s="3"/>
      <c r="AG38" s="3"/>
    </row>
    <row r="39" spans="1:34" ht="23">
      <c r="A39" s="41"/>
      <c r="B39" s="40" t="str">
        <f ca="1">OFFSET(L!$C$1,MATCH("Declaration"&amp;ADDRESS(ROW(),COLUMN(),4),L!$A:$A,0)-1,SL,,)&amp;P39</f>
        <v>Tin  (*)</v>
      </c>
      <c r="C39" s="10"/>
      <c r="D39" s="326" t="s">
        <v>475</v>
      </c>
      <c r="E39" s="327"/>
      <c r="F39" s="47"/>
      <c r="G39" s="328" t="s">
        <v>15827</v>
      </c>
      <c r="H39" s="329"/>
      <c r="I39" s="329"/>
      <c r="J39" s="330"/>
      <c r="K39" s="36"/>
      <c r="L39" s="116"/>
      <c r="P39" s="45" t="str">
        <f>IF((OR(D$27="No",D$33="No")),"","(*)")</f>
        <v>(*)</v>
      </c>
      <c r="Q39" s="3"/>
      <c r="R39" s="3"/>
      <c r="S39" s="3"/>
      <c r="T39" s="3"/>
      <c r="U39" s="3"/>
      <c r="V39" s="3"/>
      <c r="W39" s="3"/>
      <c r="X39" s="3"/>
      <c r="Y39" s="3"/>
      <c r="Z39" s="3"/>
      <c r="AA39" s="3"/>
      <c r="AB39" s="3"/>
      <c r="AC39" s="3"/>
      <c r="AD39" s="3"/>
      <c r="AE39" s="3"/>
      <c r="AF39" s="3"/>
      <c r="AG39" s="3"/>
    </row>
    <row r="40" spans="1:34" ht="23">
      <c r="A40" s="41"/>
      <c r="B40" s="40" t="str">
        <f ca="1">OFFSET(L!$C$1,MATCH("Declaration"&amp;ADDRESS(ROW(),COLUMN(),4),L!$A:$A,0)-1,SL,,)&amp;P40</f>
        <v>Gold  (*)</v>
      </c>
      <c r="C40" s="10"/>
      <c r="D40" s="326" t="s">
        <v>475</v>
      </c>
      <c r="E40" s="327"/>
      <c r="F40" s="47"/>
      <c r="G40" s="328" t="s">
        <v>15828</v>
      </c>
      <c r="H40" s="329"/>
      <c r="I40" s="329"/>
      <c r="J40" s="330"/>
      <c r="K40" s="36"/>
      <c r="L40" s="116"/>
      <c r="P40" s="45" t="str">
        <f>IF((OR(D$28="No",D$34="No")),"","(*)")</f>
        <v>(*)</v>
      </c>
      <c r="Q40" s="3"/>
      <c r="R40" s="3"/>
      <c r="S40" s="3"/>
      <c r="T40" s="3"/>
      <c r="U40" s="3"/>
      <c r="V40" s="3"/>
      <c r="W40" s="3"/>
      <c r="X40" s="3"/>
      <c r="Y40" s="3"/>
      <c r="Z40" s="3"/>
      <c r="AA40" s="3"/>
      <c r="AB40" s="3"/>
      <c r="AC40" s="3"/>
      <c r="AD40" s="3"/>
      <c r="AE40" s="3"/>
      <c r="AF40" s="3"/>
      <c r="AG40" s="3"/>
    </row>
    <row r="41" spans="1:34" ht="23">
      <c r="A41" s="41"/>
      <c r="B41" s="40" t="str">
        <f ca="1">OFFSET(L!$C$1,MATCH("Declaration"&amp;ADDRESS(ROW(),COLUMN(),4),L!$A:$A,0)-1,SL,,)&amp;P41</f>
        <v>Tungsten  (*)</v>
      </c>
      <c r="C41" s="10"/>
      <c r="D41" s="326" t="s">
        <v>475</v>
      </c>
      <c r="E41" s="327"/>
      <c r="F41" s="47"/>
      <c r="G41" s="328" t="s">
        <v>15828</v>
      </c>
      <c r="H41" s="329"/>
      <c r="I41" s="329"/>
      <c r="J41" s="330"/>
      <c r="K41" s="36"/>
      <c r="L41" s="116"/>
      <c r="P41" s="45" t="str">
        <f>IF((OR(D$29="No",D$35="No")),"","(*)")</f>
        <v>(*)</v>
      </c>
      <c r="Q41" s="3"/>
      <c r="R41" s="3"/>
      <c r="S41" s="3"/>
      <c r="T41" s="3"/>
      <c r="U41" s="3"/>
      <c r="V41" s="3"/>
      <c r="W41" s="3"/>
      <c r="X41" s="3"/>
      <c r="Y41" s="3"/>
      <c r="Z41" s="3"/>
      <c r="AA41" s="3"/>
      <c r="AB41" s="3"/>
      <c r="AC41" s="3"/>
      <c r="AD41" s="3"/>
      <c r="AE41" s="3"/>
      <c r="AF41" s="3"/>
      <c r="AG41" s="3"/>
    </row>
    <row r="42" spans="1:34" ht="17.5">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5" customHeight="1">
      <c r="A43" s="41"/>
      <c r="B43" s="44" t="str">
        <f ca="1">OFFSET(L!$C$1,MATCH("Declaration"&amp;ADDRESS(ROW(),COLUMN(),4),L!$A:$A,0)-1,SL,,)&amp;Q$37</f>
        <v>4) Do any of the smelters in your supply chain source the 3TG from conflict-affected and high-risk areas? (*)</v>
      </c>
      <c r="C43" s="10"/>
      <c r="D43" s="335" t="str">
        <f ca="1">D25</f>
        <v>Answer</v>
      </c>
      <c r="E43" s="335"/>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5" customHeight="1">
      <c r="A44" s="41"/>
      <c r="B44" s="40" t="str">
        <f ca="1">OFFSET(L!$C$1,MATCH("Declaration"&amp;ADDRESS(ROW(),COLUMN(),4),L!$A:$A,0)-1,SL,,)&amp;P44</f>
        <v>Tantalum  (*)</v>
      </c>
      <c r="C44" s="10"/>
      <c r="D44" s="326" t="s">
        <v>475</v>
      </c>
      <c r="E44" s="327"/>
      <c r="F44" s="47"/>
      <c r="G44" s="328" t="s">
        <v>15825</v>
      </c>
      <c r="H44" s="329"/>
      <c r="I44" s="329"/>
      <c r="J44" s="330"/>
      <c r="K44" s="36"/>
      <c r="L44" s="111"/>
      <c r="P44" s="45" t="str">
        <f>IF((OR(D$26="No",D$32="No")),"","(*)")</f>
        <v>(*)</v>
      </c>
      <c r="Q44" s="3"/>
      <c r="R44" s="3"/>
      <c r="S44" s="3"/>
      <c r="T44" s="3"/>
      <c r="U44" s="3"/>
      <c r="V44" s="3"/>
      <c r="W44" s="3"/>
      <c r="X44" s="3"/>
      <c r="Y44" s="3"/>
      <c r="Z44" s="3"/>
      <c r="AA44" s="3"/>
      <c r="AB44" s="3"/>
      <c r="AC44" s="3"/>
      <c r="AD44" s="3"/>
      <c r="AE44" s="3"/>
      <c r="AF44" s="3"/>
      <c r="AG44" s="3"/>
      <c r="AH44" s="3"/>
    </row>
    <row r="45" spans="1:34" ht="23.15" customHeight="1">
      <c r="A45" s="41"/>
      <c r="B45" s="40" t="str">
        <f ca="1">OFFSET(L!$C$1,MATCH("Declaration"&amp;ADDRESS(ROW(),COLUMN(),4),L!$A:$A,0)-1,SL,,)&amp;P45</f>
        <v>Tin  (*)</v>
      </c>
      <c r="C45" s="10"/>
      <c r="D45" s="326" t="s">
        <v>475</v>
      </c>
      <c r="E45" s="327"/>
      <c r="F45" s="47"/>
      <c r="G45" s="328" t="s">
        <v>15825</v>
      </c>
      <c r="H45" s="329"/>
      <c r="I45" s="329"/>
      <c r="J45" s="330"/>
      <c r="K45" s="36"/>
      <c r="L45" s="111"/>
      <c r="P45" s="45" t="str">
        <f>IF((OR(D$27="No",D$33="No")),"","(*)")</f>
        <v>(*)</v>
      </c>
      <c r="Q45" s="3"/>
      <c r="R45" s="3"/>
      <c r="S45" s="3"/>
      <c r="T45" s="3"/>
      <c r="U45" s="3"/>
      <c r="V45" s="3"/>
      <c r="W45" s="3"/>
      <c r="X45" s="3"/>
      <c r="Y45" s="3"/>
      <c r="Z45" s="3"/>
      <c r="AA45" s="3"/>
      <c r="AB45" s="3"/>
      <c r="AC45" s="3"/>
      <c r="AD45" s="3"/>
      <c r="AE45" s="3"/>
      <c r="AF45" s="3"/>
      <c r="AG45" s="3"/>
      <c r="AH45" s="3"/>
    </row>
    <row r="46" spans="1:34" ht="23.15" customHeight="1">
      <c r="A46" s="41"/>
      <c r="B46" s="40" t="str">
        <f ca="1">OFFSET(L!$C$1,MATCH("Declaration"&amp;ADDRESS(ROW(),COLUMN(),4),L!$A:$A,0)-1,SL,,)&amp;P46</f>
        <v>Gold  (*)</v>
      </c>
      <c r="C46" s="10"/>
      <c r="D46" s="326" t="s">
        <v>475</v>
      </c>
      <c r="E46" s="327"/>
      <c r="F46" s="47"/>
      <c r="G46" s="328" t="s">
        <v>15825</v>
      </c>
      <c r="H46" s="329"/>
      <c r="I46" s="329"/>
      <c r="J46" s="330"/>
      <c r="K46" s="36"/>
      <c r="L46" s="111"/>
      <c r="P46" s="45" t="str">
        <f>IF((OR(D$28="No",D$34="No")),"","(*)")</f>
        <v>(*)</v>
      </c>
      <c r="Q46" s="3"/>
      <c r="R46" s="3"/>
      <c r="S46" s="3"/>
      <c r="T46" s="3"/>
      <c r="U46" s="3"/>
      <c r="V46" s="3"/>
      <c r="W46" s="3"/>
      <c r="X46" s="3"/>
      <c r="Y46" s="3"/>
      <c r="Z46" s="3"/>
      <c r="AA46" s="3"/>
      <c r="AB46" s="3"/>
      <c r="AC46" s="3"/>
      <c r="AD46" s="3"/>
      <c r="AE46" s="3"/>
      <c r="AF46" s="3"/>
      <c r="AG46" s="3"/>
      <c r="AH46" s="3"/>
    </row>
    <row r="47" spans="1:34" ht="23.15" customHeight="1">
      <c r="A47" s="41"/>
      <c r="B47" s="40" t="str">
        <f ca="1">OFFSET(L!$C$1,MATCH("Declaration"&amp;ADDRESS(ROW(),COLUMN(),4),L!$A:$A,0)-1,SL,,)&amp;P47</f>
        <v>Tungsten  (*)</v>
      </c>
      <c r="C47" s="10"/>
      <c r="D47" s="326" t="s">
        <v>475</v>
      </c>
      <c r="E47" s="327"/>
      <c r="F47" s="47"/>
      <c r="G47" s="328" t="s">
        <v>15825</v>
      </c>
      <c r="H47" s="329"/>
      <c r="I47" s="329"/>
      <c r="J47" s="330"/>
      <c r="K47" s="36"/>
      <c r="L47" s="111"/>
      <c r="P47" s="45" t="str">
        <f>IF((OR(D$29="No",D$35="No")),"","(*)")</f>
        <v>(*)</v>
      </c>
      <c r="Q47" s="3"/>
      <c r="R47" s="3"/>
      <c r="S47" s="3"/>
      <c r="T47" s="3"/>
      <c r="U47" s="3"/>
      <c r="V47" s="3"/>
      <c r="W47" s="3"/>
      <c r="X47" s="3"/>
      <c r="Y47" s="3"/>
      <c r="Z47" s="3"/>
      <c r="AA47" s="3"/>
      <c r="AB47" s="3"/>
      <c r="AC47" s="3"/>
      <c r="AD47" s="3"/>
      <c r="AE47" s="3"/>
      <c r="AF47" s="3"/>
      <c r="AG47" s="3"/>
      <c r="AH47" s="3"/>
    </row>
    <row r="48" spans="1:34" ht="23.15"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5" customHeight="1">
      <c r="A49" s="41"/>
      <c r="B49" s="44" t="str">
        <f ca="1">OFFSET(L!$C$1,MATCH("Declaration"&amp;ADDRESS(ROW(),COLUMN(),4),L!$A:$A,0)-1,SL,,)&amp;Q$37</f>
        <v>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3">
      <c r="A50" s="41"/>
      <c r="B50" s="40" t="str">
        <f ca="1">B38</f>
        <v>Tantalum  (*)</v>
      </c>
      <c r="C50" s="10"/>
      <c r="D50" s="326" t="s">
        <v>476</v>
      </c>
      <c r="E50" s="327"/>
      <c r="F50" s="47"/>
      <c r="G50" s="328" t="s">
        <v>15825</v>
      </c>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3">
      <c r="A51" s="41"/>
      <c r="B51" s="40" t="str">
        <f ca="1">B39</f>
        <v>Tin  (*)</v>
      </c>
      <c r="C51" s="10"/>
      <c r="D51" s="326" t="s">
        <v>476</v>
      </c>
      <c r="E51" s="327"/>
      <c r="F51" s="47"/>
      <c r="G51" s="328" t="s">
        <v>15825</v>
      </c>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3">
      <c r="A52" s="41"/>
      <c r="B52" s="40" t="str">
        <f ca="1">B40</f>
        <v>Gold  (*)</v>
      </c>
      <c r="C52" s="10"/>
      <c r="D52" s="326" t="s">
        <v>476</v>
      </c>
      <c r="E52" s="327"/>
      <c r="F52" s="47"/>
      <c r="G52" s="328" t="s">
        <v>15825</v>
      </c>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3">
      <c r="A53" s="41"/>
      <c r="B53" s="40" t="str">
        <f ca="1">B41</f>
        <v>Tungsten  (*)</v>
      </c>
      <c r="C53" s="10"/>
      <c r="D53" s="326" t="s">
        <v>476</v>
      </c>
      <c r="E53" s="327"/>
      <c r="F53" s="47"/>
      <c r="G53" s="328" t="s">
        <v>15825</v>
      </c>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7.5">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5" customHeight="1">
      <c r="A55" s="41"/>
      <c r="B55" s="267" t="str">
        <f ca="1">OFFSET(L!$C$1,MATCH("Declaration"&amp;ADDRESS(ROW(),COLUMN(),4),L!$A:$A,0)-1,SL,,)&amp;Q$37</f>
        <v>6) What percentage of relevant suppliers have provided a response to your supply chain survey?  (*)</v>
      </c>
      <c r="C55" s="10"/>
      <c r="D55" s="335" t="str">
        <f ca="1">D25</f>
        <v>Answer</v>
      </c>
      <c r="E55" s="335"/>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3">
      <c r="A56" s="41"/>
      <c r="B56" s="40" t="str">
        <f ca="1">B38</f>
        <v>Tantalum  (*)</v>
      </c>
      <c r="C56" s="35"/>
      <c r="D56" s="347" t="s">
        <v>2432</v>
      </c>
      <c r="E56" s="348"/>
      <c r="F56" s="47"/>
      <c r="G56" s="328" t="s">
        <v>15825</v>
      </c>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3">
      <c r="A57" s="41"/>
      <c r="B57" s="40" t="str">
        <f ca="1">B39</f>
        <v>Tin  (*)</v>
      </c>
      <c r="C57" s="35"/>
      <c r="D57" s="347" t="s">
        <v>2432</v>
      </c>
      <c r="E57" s="348"/>
      <c r="F57" s="47"/>
      <c r="G57" s="328" t="s">
        <v>15825</v>
      </c>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23">
      <c r="A58" s="41"/>
      <c r="B58" s="40" t="str">
        <f ca="1">B40</f>
        <v>Gold  (*)</v>
      </c>
      <c r="C58" s="35"/>
      <c r="D58" s="347" t="s">
        <v>2432</v>
      </c>
      <c r="E58" s="348"/>
      <c r="F58" s="47"/>
      <c r="G58" s="328" t="s">
        <v>15825</v>
      </c>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23">
      <c r="A59" s="41"/>
      <c r="B59" s="40" t="str">
        <f ca="1">B41</f>
        <v>Tungsten  (*)</v>
      </c>
      <c r="C59" s="35"/>
      <c r="D59" s="347" t="s">
        <v>2432</v>
      </c>
      <c r="E59" s="348"/>
      <c r="F59" s="47"/>
      <c r="G59" s="328" t="s">
        <v>15825</v>
      </c>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5" customHeight="1">
      <c r="A61" s="41"/>
      <c r="B61" s="267" t="str">
        <f ca="1">OFFSET(L!$C$1,MATCH("Declaration"&amp;ADDRESS(ROW(),COLUMN(),4),L!$A:$A,0)-1,SL,,)&amp;Q$37</f>
        <v>7) Have you identified all of the smelters supplying the 3TG to your supply chain?  (*)</v>
      </c>
      <c r="C61" s="10"/>
      <c r="D61" s="335" t="str">
        <f ca="1">D25</f>
        <v>Answer</v>
      </c>
      <c r="E61" s="335"/>
      <c r="F61" s="18"/>
      <c r="G61" s="44" t="str">
        <f ca="1">G25</f>
        <v>Comments</v>
      </c>
      <c r="H61" s="332"/>
      <c r="I61" s="332"/>
      <c r="J61" s="332"/>
      <c r="K61" s="36"/>
      <c r="L61" s="111" t="s">
        <v>1207</v>
      </c>
      <c r="M61" s="112"/>
      <c r="P61" s="3"/>
      <c r="Q61" s="3"/>
      <c r="R61" s="3"/>
      <c r="S61" s="3"/>
      <c r="T61" s="3"/>
      <c r="U61" s="3"/>
      <c r="V61" s="3"/>
      <c r="W61" s="3"/>
      <c r="X61" s="3"/>
      <c r="Y61" s="3"/>
      <c r="Z61" s="3"/>
      <c r="AA61" s="3"/>
      <c r="AB61" s="3"/>
      <c r="AC61" s="3"/>
      <c r="AD61" s="3"/>
      <c r="AE61" s="3"/>
      <c r="AF61" s="3"/>
      <c r="AG61" s="3"/>
      <c r="AH61" s="3"/>
    </row>
    <row r="62" spans="1:34" ht="23">
      <c r="A62" s="41"/>
      <c r="B62" s="40" t="str">
        <f ca="1">B38</f>
        <v>Tantalum  (*)</v>
      </c>
      <c r="C62" s="10"/>
      <c r="D62" s="345" t="s">
        <v>476</v>
      </c>
      <c r="E62" s="346"/>
      <c r="F62" s="47"/>
      <c r="G62" s="328" t="s">
        <v>15825</v>
      </c>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3">
      <c r="A63" s="41"/>
      <c r="B63" s="40" t="str">
        <f ca="1">B39</f>
        <v>Tin  (*)</v>
      </c>
      <c r="C63" s="10"/>
      <c r="D63" s="326" t="s">
        <v>476</v>
      </c>
      <c r="E63" s="327"/>
      <c r="F63" s="47"/>
      <c r="G63" s="328" t="s">
        <v>15825</v>
      </c>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3">
      <c r="A64" s="41"/>
      <c r="B64" s="40" t="str">
        <f ca="1">B40</f>
        <v>Gold  (*)</v>
      </c>
      <c r="C64" s="10"/>
      <c r="D64" s="326" t="s">
        <v>476</v>
      </c>
      <c r="E64" s="327"/>
      <c r="F64" s="47"/>
      <c r="G64" s="328" t="s">
        <v>15825</v>
      </c>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3">
      <c r="A65" s="41"/>
      <c r="B65" s="40" t="str">
        <f ca="1">B41</f>
        <v>Tungsten  (*)</v>
      </c>
      <c r="C65" s="10"/>
      <c r="D65" s="326" t="s">
        <v>476</v>
      </c>
      <c r="E65" s="327"/>
      <c r="F65" s="47"/>
      <c r="G65" s="328" t="s">
        <v>15825</v>
      </c>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5" customHeight="1">
      <c r="A67" s="41"/>
      <c r="B67" s="44" t="str">
        <f ca="1">OFFSET(L!$C$1,MATCH("Declaration"&amp;ADDRESS(ROW(),COLUMN(),4),L!$A:$A,0)-1,SL,,)&amp;Q$37</f>
        <v>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1207</v>
      </c>
      <c r="M67" s="112"/>
      <c r="P67" s="3"/>
      <c r="Q67" s="3"/>
      <c r="R67" s="3"/>
      <c r="S67" s="3"/>
      <c r="T67" s="3"/>
      <c r="U67" s="3"/>
      <c r="V67" s="3"/>
      <c r="W67" s="3"/>
      <c r="X67" s="3"/>
      <c r="Y67" s="3"/>
      <c r="Z67" s="3"/>
      <c r="AA67" s="3"/>
      <c r="AB67" s="3"/>
      <c r="AC67" s="3"/>
      <c r="AD67" s="3"/>
      <c r="AE67" s="3"/>
      <c r="AF67" s="3"/>
      <c r="AG67" s="3"/>
      <c r="AH67" s="3"/>
    </row>
    <row r="68" spans="1:34" ht="23">
      <c r="A68" s="41"/>
      <c r="B68" s="40" t="str">
        <f ca="1">B38</f>
        <v>Tantalum  (*)</v>
      </c>
      <c r="C68" s="35"/>
      <c r="D68" s="326" t="s">
        <v>475</v>
      </c>
      <c r="E68" s="327"/>
      <c r="F68" s="48"/>
      <c r="G68" s="328" t="s">
        <v>15825</v>
      </c>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3">
      <c r="A69" s="41"/>
      <c r="B69" s="40" t="str">
        <f ca="1">B39</f>
        <v>Tin  (*)</v>
      </c>
      <c r="C69" s="35"/>
      <c r="D69" s="326" t="s">
        <v>475</v>
      </c>
      <c r="E69" s="327"/>
      <c r="F69" s="48"/>
      <c r="G69" s="328" t="s">
        <v>15825</v>
      </c>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3">
      <c r="A70" s="41"/>
      <c r="B70" s="40" t="str">
        <f ca="1">B40</f>
        <v>Gold  (*)</v>
      </c>
      <c r="C70" s="35"/>
      <c r="D70" s="326" t="s">
        <v>475</v>
      </c>
      <c r="E70" s="327"/>
      <c r="F70" s="48"/>
      <c r="G70" s="328" t="s">
        <v>15825</v>
      </c>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3">
      <c r="A71" s="38"/>
      <c r="B71" s="40" t="str">
        <f ca="1">B41</f>
        <v>Tungsten  (*)</v>
      </c>
      <c r="C71" s="49"/>
      <c r="D71" s="326" t="s">
        <v>475</v>
      </c>
      <c r="E71" s="327"/>
      <c r="F71" s="50"/>
      <c r="G71" s="328" t="s">
        <v>15825</v>
      </c>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5">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475</v>
      </c>
      <c r="E75" s="327"/>
      <c r="F75" s="57"/>
      <c r="G75" s="328"/>
      <c r="H75" s="329"/>
      <c r="I75" s="329"/>
      <c r="J75" s="330"/>
      <c r="K75" s="36"/>
      <c r="L75" s="113" t="s">
        <v>1208</v>
      </c>
      <c r="M75" s="112"/>
      <c r="P75" s="3"/>
      <c r="Q75" s="3"/>
      <c r="R75" s="3"/>
      <c r="S75" s="3"/>
      <c r="T75" s="3"/>
      <c r="U75" s="3"/>
      <c r="V75" s="3"/>
      <c r="W75" s="3"/>
      <c r="X75" s="3"/>
      <c r="Y75" s="3"/>
      <c r="Z75" s="3"/>
      <c r="AA75" s="3"/>
      <c r="AB75" s="3"/>
      <c r="AC75" s="3"/>
      <c r="AD75" s="3"/>
      <c r="AE75" s="3"/>
      <c r="AF75" s="3"/>
      <c r="AG75" s="3"/>
      <c r="AH75" s="3"/>
    </row>
    <row r="76" spans="1:34" ht="15">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4"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475</v>
      </c>
      <c r="E77" s="327"/>
      <c r="F77" s="57"/>
      <c r="G77" s="354" t="s">
        <v>15829</v>
      </c>
      <c r="H77" s="355"/>
      <c r="I77" s="355"/>
      <c r="J77" s="356"/>
      <c r="K77" s="36"/>
      <c r="L77" s="113" t="s">
        <v>1209</v>
      </c>
      <c r="M77" s="112"/>
      <c r="P77" s="3"/>
      <c r="Q77" s="3"/>
      <c r="R77" s="3"/>
      <c r="S77" s="3"/>
      <c r="T77" s="3"/>
      <c r="U77" s="3"/>
      <c r="V77" s="3"/>
      <c r="W77" s="3"/>
      <c r="X77" s="3"/>
      <c r="Y77" s="3"/>
      <c r="Z77" s="3"/>
      <c r="AA77" s="3"/>
      <c r="AB77" s="3"/>
      <c r="AC77" s="3"/>
      <c r="AD77" s="3"/>
      <c r="AE77" s="3"/>
      <c r="AF77" s="3"/>
      <c r="AG77" s="3"/>
      <c r="AH77" s="3"/>
    </row>
    <row r="78" spans="1:34" ht="1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475</v>
      </c>
      <c r="E79" s="327"/>
      <c r="F79" s="57"/>
      <c r="G79" s="328"/>
      <c r="H79" s="329"/>
      <c r="I79" s="329"/>
      <c r="J79" s="330"/>
      <c r="K79" s="36"/>
      <c r="L79" s="113" t="s">
        <v>1209</v>
      </c>
      <c r="M79" s="112"/>
      <c r="P79" s="3"/>
      <c r="Q79" s="3"/>
      <c r="R79" s="3"/>
      <c r="S79" s="3"/>
      <c r="T79" s="3"/>
      <c r="U79" s="3"/>
      <c r="V79" s="3"/>
      <c r="W79" s="3"/>
      <c r="X79" s="3"/>
      <c r="Y79" s="3"/>
      <c r="Z79" s="3"/>
      <c r="AA79" s="3"/>
      <c r="AB79" s="3"/>
      <c r="AC79" s="3"/>
      <c r="AD79" s="3"/>
      <c r="AE79" s="3"/>
      <c r="AF79" s="3"/>
      <c r="AG79" s="3"/>
      <c r="AH79" s="3"/>
    </row>
    <row r="80" spans="1:34" ht="1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28"/>
      <c r="H81" s="329"/>
      <c r="I81" s="329"/>
      <c r="J81" s="330"/>
      <c r="K81" s="36"/>
      <c r="L81" s="113" t="s">
        <v>1268</v>
      </c>
      <c r="M81" s="112"/>
      <c r="P81" s="3"/>
      <c r="Q81" s="3"/>
      <c r="R81" s="3"/>
      <c r="S81" s="3"/>
      <c r="T81" s="3"/>
      <c r="U81" s="3"/>
      <c r="V81" s="3"/>
      <c r="W81" s="3"/>
      <c r="X81" s="3"/>
      <c r="Y81" s="3"/>
      <c r="Z81" s="3"/>
      <c r="AA81" s="3"/>
      <c r="AB81" s="3"/>
      <c r="AC81" s="3"/>
      <c r="AD81" s="3"/>
      <c r="AE81" s="3"/>
      <c r="AF81" s="3"/>
      <c r="AG81" s="3"/>
      <c r="AH81" s="3"/>
    </row>
    <row r="82" spans="1:34" ht="1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14853</v>
      </c>
      <c r="E83" s="327"/>
      <c r="F83" s="57"/>
      <c r="G83" s="328"/>
      <c r="H83" s="329"/>
      <c r="I83" s="329"/>
      <c r="J83" s="330"/>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39" t="s">
        <v>475</v>
      </c>
      <c r="E85" s="340"/>
      <c r="F85" s="57"/>
      <c r="G85" s="328" t="s">
        <v>15830</v>
      </c>
      <c r="H85" s="329"/>
      <c r="I85" s="329"/>
      <c r="J85" s="330"/>
      <c r="K85" s="36"/>
      <c r="L85" s="113" t="s">
        <v>1209</v>
      </c>
      <c r="M85" s="112"/>
      <c r="P85" s="3"/>
      <c r="Q85" s="3"/>
      <c r="R85" s="3"/>
      <c r="S85" s="3"/>
      <c r="T85" s="3"/>
      <c r="U85" s="3"/>
      <c r="V85" s="3"/>
      <c r="W85" s="3"/>
      <c r="X85" s="3"/>
      <c r="Y85" s="3"/>
      <c r="Z85" s="3"/>
      <c r="AA85" s="3"/>
      <c r="AB85" s="3"/>
      <c r="AC85" s="3"/>
      <c r="AD85" s="3"/>
      <c r="AE85" s="3"/>
      <c r="AF85" s="3"/>
      <c r="AG85" s="3"/>
      <c r="AH85" s="3"/>
    </row>
    <row r="86" spans="1:34" ht="15">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4" customHeight="1">
      <c r="A87" s="41"/>
      <c r="B87" s="56" t="str">
        <f ca="1">OFFSET(L!$C$1,MATCH("Declaration"&amp;ADDRESS(ROW(),COLUMN(),4),L!$A:$A,0)-1,SL,,)&amp;$Q$37</f>
        <v>G. Does your review process include corrective action management? (*)</v>
      </c>
      <c r="C87" s="57"/>
      <c r="D87" s="326" t="s">
        <v>476</v>
      </c>
      <c r="E87" s="327"/>
      <c r="F87" s="57"/>
      <c r="G87" s="328" t="s">
        <v>15831</v>
      </c>
      <c r="H87" s="329"/>
      <c r="I87" s="329"/>
      <c r="J87" s="330"/>
      <c r="K87" s="36"/>
      <c r="L87" s="113" t="s">
        <v>1207</v>
      </c>
      <c r="M87" s="112"/>
      <c r="P87" s="3"/>
      <c r="Q87" s="3"/>
      <c r="R87" s="3"/>
      <c r="S87" s="3"/>
      <c r="T87" s="3"/>
      <c r="U87" s="3"/>
      <c r="V87" s="3"/>
      <c r="W87" s="3"/>
      <c r="X87" s="3"/>
      <c r="Y87" s="3"/>
      <c r="Z87" s="3"/>
      <c r="AA87" s="3"/>
      <c r="AB87" s="3"/>
      <c r="AC87" s="3"/>
      <c r="AD87" s="3"/>
      <c r="AE87" s="3"/>
      <c r="AF87" s="3"/>
      <c r="AG87" s="3"/>
      <c r="AH87" s="3"/>
    </row>
    <row r="88" spans="1:34" ht="15">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476</v>
      </c>
      <c r="E89" s="327"/>
      <c r="F89" s="57"/>
      <c r="G89" s="328"/>
      <c r="H89" s="329"/>
      <c r="I89" s="329"/>
      <c r="J89" s="330"/>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5.5" thickBot="1">
      <c r="A91" s="336" t="str">
        <f ca="1">OFFSET(L!$C$1,MATCH("General"&amp;"Cpy",L!$A:$A,0)-1,SL,,)</f>
        <v>© 2025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5.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Yes</v>
      </c>
      <c r="E96" s="282" t="str">
        <f>IF(AND(OR($D$26="Yes",$D$26=""),OR($D$32="Yes",$D$32="")),"100%","")</f>
        <v>100%</v>
      </c>
      <c r="G96" s="282" t="str">
        <f>IF(OR($D$26="Yes",$D$26=""),"Yes","")</f>
        <v>Yes</v>
      </c>
    </row>
    <row r="97" spans="2:7" ht="13.5" hidden="1" customHeight="1">
      <c r="B97" s="56" t="s">
        <v>476</v>
      </c>
      <c r="D97" s="282" t="str">
        <f>IF(AND(OR($D$26="Yes",$D$26=""),OR($D$32="Yes",$D$32="")),"No","")</f>
        <v>No</v>
      </c>
      <c r="E97" s="282" t="str">
        <f>IF(AND(OR($D$26="Yes",$D$26=""),OR($D$32="Yes",$D$32="")),"Greater than 90%","")</f>
        <v>Greater than 90%</v>
      </c>
      <c r="G97" s="282" t="str">
        <f>IF(OR($D$26="Yes",$D$26=""),"No","")</f>
        <v>No</v>
      </c>
    </row>
    <row r="98" spans="2:7" ht="15" hidden="1">
      <c r="B98" s="56" t="s">
        <v>477</v>
      </c>
      <c r="D98" s="282" t="str">
        <f>IF(AND(OR($D$26="Yes",$D$26=""),OR($D$32="Yes",$D$32="")),"Unknown","")</f>
        <v>Unknown</v>
      </c>
      <c r="E98" s="282" t="str">
        <f>IF(AND(OR($D$26="Yes",$D$26=""),OR($D$32="Yes",$D$32="")),"Greater than 75%","")</f>
        <v>Greater than 75%</v>
      </c>
      <c r="G98" s="282" t="str">
        <f>IF(OR($D$27="Yes",$D$27=""),"Yes","")</f>
        <v>Yes</v>
      </c>
    </row>
    <row r="99" spans="2:7" ht="15" hidden="1">
      <c r="B99" s="188">
        <v>1</v>
      </c>
      <c r="D99" s="282" t="str">
        <f>IF(AND(OR($D$27="Yes",$D$27=""),OR($D$33="Yes",$D$33="")),"Yes","")</f>
        <v>Yes</v>
      </c>
      <c r="E99" s="282" t="str">
        <f>IF(AND(OR($D$26="Yes",$D$26=""),OR($D$32="Yes",$D$32="")),"Greater than 50%","")</f>
        <v>Greater than 50%</v>
      </c>
      <c r="G99" s="282" t="str">
        <f>IF(OR($D$27="Yes",$D$27=""),"No","")</f>
        <v>No</v>
      </c>
    </row>
    <row r="100" spans="2:7" ht="15" hidden="1">
      <c r="B100" s="236" t="s">
        <v>2432</v>
      </c>
      <c r="D100" s="282" t="str">
        <f>IF(AND(OR($D$27="Yes",$D$27=""),OR($D$33="Yes",$D$33="")),"No","")</f>
        <v>No</v>
      </c>
      <c r="E100" s="282" t="str">
        <f>IF(AND(OR($D$26="Yes",$D$26=""),OR($D$32="Yes",$D$32="")),"50% or less","")</f>
        <v>50% or less</v>
      </c>
      <c r="G100" s="282" t="str">
        <f>IF(OR($D$28="Yes",$D$28=""),"Yes","")</f>
        <v>Yes</v>
      </c>
    </row>
    <row r="101" spans="2:7" ht="15" hidden="1">
      <c r="B101" s="236" t="s">
        <v>2433</v>
      </c>
      <c r="D101" s="282" t="str">
        <f>IF(AND(OR($D$27="Yes",$D$27=""),OR($D$33="Yes",$D$33="")),"Unknown","")</f>
        <v>Unknown</v>
      </c>
      <c r="E101" s="282" t="str">
        <f>IF(AND(OR($D$26="Yes",$D$26=""),OR($D$32="Yes",$D$32="")),"None","")</f>
        <v>None</v>
      </c>
      <c r="G101" s="282" t="str">
        <f>IF(OR($D$28="Yes",$D$28=""),"No","")</f>
        <v>No</v>
      </c>
    </row>
    <row r="102" spans="2:7" ht="15" hidden="1">
      <c r="B102" s="236" t="s">
        <v>2434</v>
      </c>
      <c r="D102" s="282" t="str">
        <f>IF(AND(OR($D$28="Yes",$D$28=""),OR($D$34="Yes",$D$34="")),"Yes","")</f>
        <v>Yes</v>
      </c>
      <c r="E102" s="282" t="str">
        <f>IF(AND(OR($D$27="Yes",$D$27=""),OR($D$33="Yes",$D$33="")),"100%","")</f>
        <v>100%</v>
      </c>
      <c r="G102" s="282" t="str">
        <f>IF(OR($D$29="Yes",$D$29=""),"Yes","")</f>
        <v>Yes</v>
      </c>
    </row>
    <row r="103" spans="2:7" ht="15" hidden="1">
      <c r="B103" s="236" t="s">
        <v>2435</v>
      </c>
      <c r="D103" s="282" t="str">
        <f>IF(AND(OR($D$28="Yes",$D$28=""),OR($D$34="Yes",$D$34="")),"No","")</f>
        <v>No</v>
      </c>
      <c r="E103" s="282" t="str">
        <f>IF(AND(OR($D$27="Yes",$D$27=""),OR($D$33="Yes",$D$33="")),"Greater than 90%","")</f>
        <v>Greater than 90%</v>
      </c>
      <c r="G103" s="282" t="str">
        <f>IF(OR($D$29="Yes",$D$29=""),"No","")</f>
        <v>No</v>
      </c>
    </row>
    <row r="104" spans="2:7" ht="15" hidden="1">
      <c r="B104" s="236" t="s">
        <v>478</v>
      </c>
      <c r="D104" s="282" t="str">
        <f>IF(AND(OR($D$28="Yes",$D$28=""),OR($D$34="Yes",$D$34="")),"Unknown","")</f>
        <v>Unknown</v>
      </c>
      <c r="E104" s="282" t="str">
        <f>IF(AND(OR($D$27="Yes",$D$27=""),OR($D$33="Yes",$D$33="")),"Greater than 75%","")</f>
        <v>Greater than 75%</v>
      </c>
    </row>
    <row r="105" spans="2:7" ht="15" hidden="1">
      <c r="B105" s="236" t="s">
        <v>14853</v>
      </c>
      <c r="D105" s="282" t="str">
        <f>IF(AND(OR($D$29="Yes",$D$29=""),OR($D$35="Yes",$D$35="")),"Yes","")</f>
        <v>Yes</v>
      </c>
      <c r="E105" s="282" t="str">
        <f>IF(AND(OR($D$27="Yes",$D$27=""),OR($D$33="Yes",$D$33="")),"Greater than 50%","")</f>
        <v>Greater than 50%</v>
      </c>
    </row>
    <row r="106" spans="2:7" ht="15" hidden="1">
      <c r="B106" s="236" t="s">
        <v>12341</v>
      </c>
      <c r="D106" s="282" t="str">
        <f>IF(AND(OR($D$29="Yes",$D$29=""),OR($D$35="Yes",$D$35="")),"No","")</f>
        <v>No</v>
      </c>
      <c r="E106" s="282" t="str">
        <f>IF(AND(OR($D$27="Yes",$D$27=""),OR($D$33="Yes",$D$33="")),"50% or less","")</f>
        <v>50% or less</v>
      </c>
    </row>
    <row r="107" spans="2:7" ht="15" hidden="1">
      <c r="B107" s="236" t="s">
        <v>476</v>
      </c>
      <c r="D107" s="282" t="str">
        <f>IF(AND(OR($D$29="Yes",$D$29=""),OR($D$35="Yes",$D$35="")),"Unknown","")</f>
        <v>Unknown</v>
      </c>
      <c r="E107" s="282" t="str">
        <f>IF(AND(OR($D$27="Yes",$D$27=""),OR($D$33="Yes",$D$33="")),"None","")</f>
        <v>None</v>
      </c>
    </row>
    <row r="108" spans="2:7" ht="15" hidden="1">
      <c r="B108" s="236" t="s">
        <v>13880</v>
      </c>
      <c r="E108" s="282" t="str">
        <f>IF(AND(OR($D$28="Yes",$D$28=""),OR($D$34="Yes",$D$34="")),"100%","")</f>
        <v>100%</v>
      </c>
    </row>
    <row r="109" spans="2:7" ht="15" hidden="1">
      <c r="B109" s="236" t="s">
        <v>13882</v>
      </c>
      <c r="E109" s="282" t="str">
        <f>IF(AND(OR($D$28="Yes",$D$28=""),OR($D$34="Yes",$D$34="")),"Greater than 90%","")</f>
        <v>Greater than 90%</v>
      </c>
    </row>
    <row r="110" spans="2:7" ht="15" hidden="1">
      <c r="B110" s="236" t="s">
        <v>13883</v>
      </c>
      <c r="E110" s="282" t="str">
        <f>IF(AND(OR($D$28="Yes",$D$28=""),OR($D$34="Yes",$D$34="")),"Greater than 75%","")</f>
        <v>Greater than 75%</v>
      </c>
    </row>
    <row r="111" spans="2:7" ht="15" hidden="1">
      <c r="B111" s="236" t="s">
        <v>476</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6A88390E-E4EA-4D24-BE56-8DEDC169055B}"/>
    <hyperlink ref="D20" r:id="rId4" xr:uid="{BFCAA26F-AA0C-4AF5-A64A-7710BFEBB0F8}"/>
    <hyperlink ref="G77" r:id="rId5" xr:uid="{EA53C9FD-AD14-4308-A777-15A40BBCCC02}"/>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M332" zoomScaleNormal="100" zoomScalePageLayoutView="55" workbookViewId="0">
      <selection activeCell="C10" sqref="C10"/>
    </sheetView>
  </sheetViews>
  <sheetFormatPr defaultColWidth="8.84375" defaultRowHeight="13.5"/>
  <cols>
    <col min="1" max="1" width="13.61328125" style="227" customWidth="1"/>
    <col min="2" max="2" width="13.3828125" style="229" customWidth="1"/>
    <col min="3" max="3" width="40.61328125" style="229" customWidth="1"/>
    <col min="4" max="4" width="30.61328125" style="229" customWidth="1"/>
    <col min="5" max="5" width="20.84375" style="229" customWidth="1"/>
    <col min="6" max="7" width="13.84375" style="229" customWidth="1"/>
    <col min="8" max="8" width="25.15234375" style="229" customWidth="1"/>
    <col min="9" max="9" width="24.15234375" style="229" customWidth="1"/>
    <col min="10" max="10" width="18.3828125" style="229" customWidth="1"/>
    <col min="11" max="11" width="27.3828125" style="229" customWidth="1"/>
    <col min="12" max="12" width="20.61328125" style="229" customWidth="1"/>
    <col min="13" max="13" width="35.15234375" style="229" customWidth="1"/>
    <col min="14" max="14" width="42.15234375" style="229" customWidth="1"/>
    <col min="15" max="15" width="32.15234375" style="229" customWidth="1"/>
    <col min="16" max="16" width="22.84375" style="229" customWidth="1"/>
    <col min="17" max="17" width="43.61328125" style="229" customWidth="1"/>
    <col min="18" max="18" width="35.84375" style="229" hidden="1" customWidth="1"/>
    <col min="19" max="20" width="17.84375" style="229" hidden="1" customWidth="1"/>
    <col min="21" max="21" width="8.84375" style="229" hidden="1" customWidth="1"/>
    <col min="22" max="22" width="6.15234375" style="229" hidden="1" customWidth="1"/>
    <col min="23" max="23" width="8.61328125" style="229" hidden="1" customWidth="1"/>
    <col min="24" max="24" width="8.84375" style="229" hidden="1" customWidth="1"/>
    <col min="25" max="27" width="4.3828125" style="229" hidden="1" customWidth="1"/>
    <col min="28" max="28" width="7.84375" style="229" hidden="1" customWidth="1"/>
    <col min="29" max="33" width="4.3828125" style="229" hidden="1" customWidth="1"/>
    <col min="34" max="34" width="14.61328125" style="229" hidden="1" customWidth="1"/>
    <col min="35" max="39" width="8.84375" style="229" customWidth="1"/>
    <col min="40" max="16384" width="8.84375" style="229"/>
  </cols>
  <sheetData>
    <row r="1" spans="1:34" s="221" customFormat="1" ht="16"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20" customHeight="1">
      <c r="A5" s="262"/>
      <c r="B5" s="182" t="s">
        <v>1098</v>
      </c>
      <c r="C5" s="186" t="s">
        <v>15832</v>
      </c>
      <c r="D5" s="230" t="s">
        <v>15832</v>
      </c>
      <c r="E5" s="182" t="s">
        <v>1064</v>
      </c>
      <c r="F5" s="182" t="s">
        <v>15833</v>
      </c>
      <c r="G5" s="182" t="s">
        <v>13177</v>
      </c>
      <c r="H5" s="183" t="s">
        <v>15834</v>
      </c>
      <c r="I5" s="184" t="s">
        <v>1642</v>
      </c>
      <c r="J5" s="184" t="s">
        <v>3104</v>
      </c>
      <c r="K5" s="224"/>
      <c r="L5" s="224"/>
      <c r="M5" s="224"/>
      <c r="N5" s="224">
        <v>-2146826246</v>
      </c>
      <c r="O5" s="224" t="s">
        <v>15835</v>
      </c>
      <c r="P5" s="185"/>
      <c r="Q5" s="225"/>
      <c r="R5" s="182" t="str">
        <f ca="1">IF(ISERROR($V5),"",OFFSET('Smelter Look-up'!$C$4,$V5-4,0)&amp;"")</f>
        <v/>
      </c>
      <c r="S5" s="181" t="str">
        <f ca="1">IF(B5="","",IF(ISERROR(MATCH($E5,CL,0)),"Unknown",INDIRECT("'C'!$A$"&amp;MATCH($E5,CL,0)+1)))</f>
        <v>BE</v>
      </c>
      <c r="T5" s="181" t="str">
        <f ca="1">IF(B5="","",IF(ISERROR(MATCH($J5,SorP!$B$1:$B$6226,0)),"",INDIRECT("'SorP'!$A$"&amp;MATCH($S5&amp;$J5,SorP!C:C,0))))</f>
        <v>BE-VAN</v>
      </c>
      <c r="U5" s="201"/>
      <c r="V5" s="226" t="e">
        <f>IF(C5="",NA(),IF(OR(C5="Smelter not listed",C5="Smelter not yet identified"),MATCH($B5&amp;$D5,'Smelter Look-up'!$J:$J,0),MATCH($B5&amp;$C5,'Smelter Look-up'!$J:$J,0)))</f>
        <v>#N/A</v>
      </c>
      <c r="X5" s="227">
        <f t="shared" ref="X5" si="0">IF(AND(C5="Smelter not listed",OR(LEN(D5)=0,LEN(E5)=0)),1,0)</f>
        <v>0</v>
      </c>
      <c r="AB5" s="228" t="str">
        <f t="shared" ref="AB5" si="1">B5&amp;C5</f>
        <v>GoldValue Trading</v>
      </c>
    </row>
    <row r="6" spans="1:34" s="227" customFormat="1" ht="20" customHeight="1">
      <c r="A6" s="262"/>
      <c r="B6" s="182" t="s">
        <v>1098</v>
      </c>
      <c r="C6" s="186" t="s">
        <v>14943</v>
      </c>
      <c r="D6" s="230" t="s">
        <v>14943</v>
      </c>
      <c r="E6" s="182" t="s">
        <v>1073</v>
      </c>
      <c r="F6" s="182" t="s">
        <v>14944</v>
      </c>
      <c r="G6" s="182" t="s">
        <v>13177</v>
      </c>
      <c r="H6" s="183" t="s">
        <v>15836</v>
      </c>
      <c r="I6" s="184" t="s">
        <v>15296</v>
      </c>
      <c r="J6" s="184" t="s">
        <v>12785</v>
      </c>
      <c r="K6" s="224"/>
      <c r="L6" s="224"/>
      <c r="M6" s="224"/>
      <c r="N6" s="224">
        <v>-2146826246</v>
      </c>
      <c r="O6" s="224" t="s">
        <v>15835</v>
      </c>
      <c r="P6" s="185"/>
      <c r="Q6" s="225"/>
      <c r="R6" s="182" t="str">
        <f ca="1">IF(ISERROR($V6),"",OFFSET('Smelter Look-up'!$C$4,$V6-4,0)&amp;"")</f>
        <v>WEEEREFINING</v>
      </c>
      <c r="S6" s="181" t="str">
        <f t="shared" ref="S6:S37" ca="1" si="2">IF(B6="","",IF(ISERROR(MATCH($E6,CL,0)),"Unknown",INDIRECT("'C'!$A$"&amp;MATCH($E6,CL,0)+1)))</f>
        <v>FR</v>
      </c>
      <c r="T6" s="181" t="str">
        <f ca="1">IF(B6="","",IF(ISERROR(MATCH($J6,SorP!$B$1:$B$6226,0)),"",INDIRECT("'SorP'!$A$"&amp;MATCH($S6&amp;$J6,SorP!C:C,0))))</f>
        <v>FR-NOR</v>
      </c>
      <c r="U6" s="201"/>
      <c r="V6" s="226">
        <f>IF(C6="",NA(),IF(OR(C6="Smelter not listed",C6="Smelter not yet identified"),MATCH($B6&amp;$D6,'Smelter Look-up'!$J:$J,0),MATCH($B6&amp;$C6,'Smelter Look-up'!$J:$J,0)))</f>
        <v>305</v>
      </c>
      <c r="X6" s="227">
        <f t="shared" ref="X6:X37" si="3">IF(AND(C6="Smelter not listed",OR(LEN(D6)=0,LEN(E6)=0)),1,0)</f>
        <v>0</v>
      </c>
      <c r="AB6" s="228" t="str">
        <f t="shared" ref="AB6:AB37" si="4">B6&amp;C6</f>
        <v>GoldWEEEREFINING</v>
      </c>
    </row>
    <row r="7" spans="1:34" s="227" customFormat="1" ht="20" customHeight="1">
      <c r="A7" s="262"/>
      <c r="B7" s="182" t="s">
        <v>1098</v>
      </c>
      <c r="C7" s="186" t="s">
        <v>14935</v>
      </c>
      <c r="D7" s="230" t="s">
        <v>14935</v>
      </c>
      <c r="E7" s="182" t="s">
        <v>864</v>
      </c>
      <c r="F7" s="182" t="s">
        <v>14936</v>
      </c>
      <c r="G7" s="182" t="s">
        <v>13177</v>
      </c>
      <c r="H7" s="183" t="s">
        <v>15837</v>
      </c>
      <c r="I7" s="184" t="s">
        <v>15289</v>
      </c>
      <c r="J7" s="184" t="s">
        <v>1610</v>
      </c>
      <c r="K7" s="224"/>
      <c r="L7" s="224"/>
      <c r="M7" s="224"/>
      <c r="N7" s="224" t="s">
        <v>15838</v>
      </c>
      <c r="O7" s="224" t="s">
        <v>15839</v>
      </c>
      <c r="P7" s="185"/>
      <c r="Q7" s="225" t="s">
        <v>15840</v>
      </c>
      <c r="R7" s="182" t="str">
        <f ca="1">IF(ISERROR($V7),"",OFFSET('Smelter Look-up'!$C$4,$V7-4,0)&amp;"")</f>
        <v>Metal Concentrators SA (Pty) Ltd.</v>
      </c>
      <c r="S7" s="181" t="str">
        <f t="shared" ca="1" si="2"/>
        <v>ZA</v>
      </c>
      <c r="T7" s="181" t="str">
        <f ca="1">IF(B7="","",IF(ISERROR(MATCH($J7,SorP!$B$1:$B$6226,0)),"",INDIRECT("'SorP'!$A$"&amp;MATCH($S7&amp;$J7,SorP!C:C,0))))</f>
        <v>ZA-GP</v>
      </c>
      <c r="U7" s="201"/>
      <c r="V7" s="226">
        <f>IF(C7="",NA(),IF(OR(C7="Smelter not listed",C7="Smelter not yet identified"),MATCH($B7&amp;$D7,'Smelter Look-up'!$J:$J,0),MATCH($B7&amp;$C7,'Smelter Look-up'!$J:$J,0)))</f>
        <v>173</v>
      </c>
      <c r="X7" s="227">
        <f t="shared" si="3"/>
        <v>0</v>
      </c>
      <c r="AB7" s="228" t="str">
        <f t="shared" si="4"/>
        <v>GoldMetal Concentrators SA (Pty) Ltd.</v>
      </c>
    </row>
    <row r="8" spans="1:34" s="227" customFormat="1" ht="20" customHeight="1">
      <c r="A8" s="262"/>
      <c r="B8" s="182" t="s">
        <v>1098</v>
      </c>
      <c r="C8" s="186" t="s">
        <v>14937</v>
      </c>
      <c r="D8" s="230" t="s">
        <v>14937</v>
      </c>
      <c r="E8" s="182" t="s">
        <v>2384</v>
      </c>
      <c r="F8" s="182" t="s">
        <v>14938</v>
      </c>
      <c r="G8" s="182" t="s">
        <v>13177</v>
      </c>
      <c r="H8" s="183" t="s">
        <v>15841</v>
      </c>
      <c r="I8" s="184" t="s">
        <v>14982</v>
      </c>
      <c r="J8" s="184" t="s">
        <v>1703</v>
      </c>
      <c r="K8" s="224"/>
      <c r="L8" s="224"/>
      <c r="M8" s="224"/>
      <c r="N8" s="224">
        <v>-2146826246</v>
      </c>
      <c r="O8" s="224" t="s">
        <v>15842</v>
      </c>
      <c r="P8" s="185"/>
      <c r="Q8" s="225"/>
      <c r="R8" s="182" t="str">
        <f ca="1">IF(ISERROR($V8),"",OFFSET('Smelter Look-up'!$C$4,$V8-4,0)&amp;"")</f>
        <v>Metallix Refining Inc.</v>
      </c>
      <c r="S8" s="181" t="str">
        <f t="shared" ca="1" si="2"/>
        <v>US</v>
      </c>
      <c r="T8" s="181" t="str">
        <f ca="1">IF(B8="","",IF(ISERROR(MATCH($J8,SorP!$B$1:$B$6226,0)),"",INDIRECT("'SorP'!$A$"&amp;MATCH($S8&amp;$J8,SorP!C:C,0))))</f>
        <v>US-NC</v>
      </c>
      <c r="U8" s="201"/>
      <c r="V8" s="226">
        <f>IF(C8="",NA(),IF(OR(C8="Smelter not listed",C8="Smelter not yet identified"),MATCH($B8&amp;$D8,'Smelter Look-up'!$J:$J,0),MATCH($B8&amp;$C8,'Smelter Look-up'!$J:$J,0)))</f>
        <v>175</v>
      </c>
      <c r="X8" s="227">
        <f t="shared" si="3"/>
        <v>0</v>
      </c>
      <c r="AB8" s="228" t="str">
        <f t="shared" si="4"/>
        <v>GoldMetallix Refining Inc.</v>
      </c>
    </row>
    <row r="9" spans="1:34" s="227" customFormat="1" ht="20" customHeight="1">
      <c r="A9" s="262"/>
      <c r="B9" s="182" t="s">
        <v>1098</v>
      </c>
      <c r="C9" s="186" t="s">
        <v>14933</v>
      </c>
      <c r="D9" s="230" t="s">
        <v>14933</v>
      </c>
      <c r="E9" s="182" t="s">
        <v>1075</v>
      </c>
      <c r="F9" s="182" t="s">
        <v>14934</v>
      </c>
      <c r="G9" s="182" t="s">
        <v>13177</v>
      </c>
      <c r="H9" s="183" t="s">
        <v>15843</v>
      </c>
      <c r="I9" s="184" t="s">
        <v>14981</v>
      </c>
      <c r="J9" s="184" t="s">
        <v>15844</v>
      </c>
      <c r="K9" s="224"/>
      <c r="L9" s="224"/>
      <c r="M9" s="224"/>
      <c r="N9" s="224">
        <v>-2146826246</v>
      </c>
      <c r="O9" s="224" t="s">
        <v>15835</v>
      </c>
      <c r="P9" s="185"/>
      <c r="Q9" s="225"/>
      <c r="R9" s="182" t="str">
        <f ca="1">IF(ISERROR($V9),"",OFFSET('Smelter Look-up'!$C$4,$V9-4,0)&amp;"")</f>
        <v>MD Overseas</v>
      </c>
      <c r="S9" s="181" t="str">
        <f t="shared" ca="1" si="2"/>
        <v>IN</v>
      </c>
      <c r="T9" s="181" t="str">
        <f ca="1">IF(B9="","",IF(ISERROR(MATCH($J9,SorP!$B$1:$B$6226,0)),"",INDIRECT("'SorP'!$A$"&amp;MATCH($S9&amp;$J9,SorP!C:C,0))))</f>
        <v/>
      </c>
      <c r="U9" s="201"/>
      <c r="V9" s="226">
        <f>IF(C9="",NA(),IF(OR(C9="Smelter not listed",C9="Smelter not yet identified"),MATCH($B9&amp;$D9,'Smelter Look-up'!$J:$J,0),MATCH($B9&amp;$C9,'Smelter Look-up'!$J:$J,0)))</f>
        <v>171</v>
      </c>
      <c r="X9" s="227">
        <f t="shared" si="3"/>
        <v>0</v>
      </c>
      <c r="AB9" s="228" t="str">
        <f t="shared" si="4"/>
        <v>GoldMD Overseas</v>
      </c>
    </row>
    <row r="10" spans="1:34" s="227" customFormat="1" ht="20" customHeight="1">
      <c r="A10" s="262"/>
      <c r="B10" s="182" t="s">
        <v>1098</v>
      </c>
      <c r="C10" s="186" t="s">
        <v>15845</v>
      </c>
      <c r="D10" s="230" t="s">
        <v>15845</v>
      </c>
      <c r="E10" s="182" t="s">
        <v>13017</v>
      </c>
      <c r="F10" s="182" t="s">
        <v>15846</v>
      </c>
      <c r="G10" s="182" t="s">
        <v>13177</v>
      </c>
      <c r="H10" s="183" t="s">
        <v>15847</v>
      </c>
      <c r="I10" s="184" t="s">
        <v>15848</v>
      </c>
      <c r="J10" s="184" t="s">
        <v>8292</v>
      </c>
      <c r="K10" s="224"/>
      <c r="L10" s="224"/>
      <c r="M10" s="224"/>
      <c r="N10" s="224">
        <v>-2146826246</v>
      </c>
      <c r="O10" s="224" t="s">
        <v>15835</v>
      </c>
      <c r="P10" s="185"/>
      <c r="Q10" s="225"/>
      <c r="R10" s="182" t="str">
        <f ca="1">IF(ISERROR($V10),"",OFFSET('Smelter Look-up'!$C$4,$V10-4,0)&amp;"")</f>
        <v/>
      </c>
      <c r="S10" s="181" t="str">
        <f t="shared" ca="1" si="2"/>
        <v>MR</v>
      </c>
      <c r="T10" s="181" t="str">
        <f ca="1">IF(B10="","",IF(ISERROR(MATCH($J10,SorP!$B$1:$B$6226,0)),"",INDIRECT("'SorP'!$A$"&amp;MATCH($S10&amp;$J10,SorP!C:C,0))))</f>
        <v>MR-13</v>
      </c>
      <c r="U10" s="201"/>
      <c r="V10" s="226" t="e">
        <f>IF(C10="",NA(),IF(OR(C10="Smelter not listed",C10="Smelter not yet identified"),MATCH($B10&amp;$D10,'Smelter Look-up'!$J:$J,0),MATCH($B10&amp;$C10,'Smelter Look-up'!$J:$J,0)))</f>
        <v>#N/A</v>
      </c>
      <c r="X10" s="227">
        <f t="shared" si="3"/>
        <v>0</v>
      </c>
      <c r="AB10" s="228" t="str">
        <f t="shared" si="4"/>
        <v>GoldSellem Industries Ltd.</v>
      </c>
    </row>
    <row r="11" spans="1:34" s="227" customFormat="1" ht="20" customHeight="1">
      <c r="A11" s="262"/>
      <c r="B11" s="182" t="s">
        <v>1098</v>
      </c>
      <c r="C11" s="186" t="s">
        <v>15849</v>
      </c>
      <c r="D11" s="230" t="s">
        <v>15849</v>
      </c>
      <c r="E11" s="182" t="s">
        <v>12931</v>
      </c>
      <c r="F11" s="182" t="s">
        <v>15850</v>
      </c>
      <c r="G11" s="182" t="s">
        <v>13177</v>
      </c>
      <c r="H11" s="183" t="s">
        <v>15851</v>
      </c>
      <c r="I11" s="184" t="s">
        <v>15852</v>
      </c>
      <c r="J11" s="184" t="s">
        <v>3910</v>
      </c>
      <c r="K11" s="224"/>
      <c r="L11" s="224"/>
      <c r="M11" s="224"/>
      <c r="N11" s="224">
        <v>-2146826246</v>
      </c>
      <c r="O11" s="224" t="s">
        <v>15835</v>
      </c>
      <c r="P11" s="185"/>
      <c r="Q11" s="225"/>
      <c r="R11" s="182" t="str">
        <f ca="1">IF(ISERROR($V11),"",OFFSET('Smelter Look-up'!$C$4,$V11-4,0)&amp;"")</f>
        <v/>
      </c>
      <c r="S11" s="181" t="str">
        <f t="shared" ca="1" si="2"/>
        <v>CO</v>
      </c>
      <c r="T11" s="181" t="str">
        <f ca="1">IF(B11="","",IF(ISERROR(MATCH($J11,SorP!$B$1:$B$6226,0)),"",INDIRECT("'SorP'!$A$"&amp;MATCH($S11&amp;$J11,SorP!C:C,0))))</f>
        <v>CO-ATL</v>
      </c>
      <c r="U11" s="201"/>
      <c r="V11" s="226" t="e">
        <f>IF(C11="",NA(),IF(OR(C11="Smelter not listed",C11="Smelter not yet identified"),MATCH($B11&amp;$D11,'Smelter Look-up'!$J:$J,0),MATCH($B11&amp;$C11,'Smelter Look-up'!$J:$J,0)))</f>
        <v>#N/A</v>
      </c>
      <c r="X11" s="227">
        <f t="shared" si="3"/>
        <v>0</v>
      </c>
      <c r="AB11" s="228" t="str">
        <f t="shared" si="4"/>
        <v>GoldSancus ZFS (L’Orfebre, SA)</v>
      </c>
    </row>
    <row r="12" spans="1:34" s="227" customFormat="1" ht="20" customHeight="1">
      <c r="A12" s="262"/>
      <c r="B12" s="182" t="s">
        <v>1098</v>
      </c>
      <c r="C12" s="186" t="s">
        <v>14915</v>
      </c>
      <c r="D12" s="230" t="s">
        <v>14915</v>
      </c>
      <c r="E12" s="182" t="s">
        <v>2384</v>
      </c>
      <c r="F12" s="182" t="s">
        <v>14916</v>
      </c>
      <c r="G12" s="182" t="s">
        <v>13177</v>
      </c>
      <c r="H12" s="183" t="s">
        <v>15853</v>
      </c>
      <c r="I12" s="184" t="s">
        <v>14978</v>
      </c>
      <c r="J12" s="184" t="s">
        <v>1601</v>
      </c>
      <c r="K12" s="224"/>
      <c r="L12" s="224"/>
      <c r="M12" s="224"/>
      <c r="N12" s="224">
        <v>-2146826246</v>
      </c>
      <c r="O12" s="224" t="s">
        <v>15842</v>
      </c>
      <c r="P12" s="185"/>
      <c r="Q12" s="225"/>
      <c r="R12" s="182" t="str">
        <f ca="1">IF(ISERROR($V12),"",OFFSET('Smelter Look-up'!$C$4,$V12-4,0)&amp;"")</f>
        <v>Alexy Metals</v>
      </c>
      <c r="S12" s="181" t="str">
        <f t="shared" ca="1" si="2"/>
        <v>US</v>
      </c>
      <c r="T12" s="181" t="str">
        <f ca="1">IF(B12="","",IF(ISERROR(MATCH($J12,SorP!$B$1:$B$6226,0)),"",INDIRECT("'SorP'!$A$"&amp;MATCH($S12&amp;$J12,SorP!C:C,0))))</f>
        <v>US-OH</v>
      </c>
      <c r="U12" s="201"/>
      <c r="V12" s="226">
        <f>IF(C12="",NA(),IF(OR(C12="Smelter not listed",C12="Smelter not yet identified"),MATCH($B12&amp;$D12,'Smelter Look-up'!$J:$J,0),MATCH($B12&amp;$C12,'Smelter Look-up'!$J:$J,0)))</f>
        <v>18</v>
      </c>
      <c r="X12" s="227">
        <f t="shared" si="3"/>
        <v>0</v>
      </c>
      <c r="AB12" s="228" t="str">
        <f t="shared" si="4"/>
        <v>GoldAlexy Metals</v>
      </c>
    </row>
    <row r="13" spans="1:34" s="227" customFormat="1" ht="20" customHeight="1">
      <c r="A13" s="262"/>
      <c r="B13" s="182" t="s">
        <v>1098</v>
      </c>
      <c r="C13" s="186" t="s">
        <v>14930</v>
      </c>
      <c r="D13" s="230" t="s">
        <v>14930</v>
      </c>
      <c r="E13" s="182" t="s">
        <v>13030</v>
      </c>
      <c r="F13" s="182" t="s">
        <v>14931</v>
      </c>
      <c r="G13" s="182" t="s">
        <v>13177</v>
      </c>
      <c r="H13" s="183" t="s">
        <v>15854</v>
      </c>
      <c r="I13" s="184" t="s">
        <v>14980</v>
      </c>
      <c r="J13" s="184" t="s">
        <v>15855</v>
      </c>
      <c r="K13" s="224"/>
      <c r="L13" s="224"/>
      <c r="M13" s="224"/>
      <c r="N13" s="224">
        <v>-2146826246</v>
      </c>
      <c r="O13" s="224" t="s">
        <v>15835</v>
      </c>
      <c r="P13" s="185"/>
      <c r="Q13" s="225"/>
      <c r="R13" s="182" t="str">
        <f ca="1">IF(ISERROR($V13),"",OFFSET('Smelter Look-up'!$C$4,$V13-4,0)&amp;"")</f>
        <v>K.A. Rasmussen</v>
      </c>
      <c r="S13" s="181" t="str">
        <f t="shared" ca="1" si="2"/>
        <v>NO</v>
      </c>
      <c r="T13" s="181" t="str">
        <f ca="1">IF(B13="","",IF(ISERROR(MATCH($J13,SorP!$B$1:$B$6226,0)),"",INDIRECT("'SorP'!$A$"&amp;MATCH($S13&amp;$J13,SorP!C:C,0))))</f>
        <v/>
      </c>
      <c r="U13" s="201"/>
      <c r="V13" s="226">
        <f>IF(C13="",NA(),IF(OR(C13="Smelter not listed",C13="Smelter not yet identified"),MATCH($B13&amp;$D13,'Smelter Look-up'!$J:$J,0),MATCH($B13&amp;$C13,'Smelter Look-up'!$J:$J,0)))</f>
        <v>138</v>
      </c>
      <c r="X13" s="227">
        <f t="shared" si="3"/>
        <v>0</v>
      </c>
      <c r="AB13" s="228" t="str">
        <f t="shared" si="4"/>
        <v>GoldK.A. Rasmussen</v>
      </c>
    </row>
    <row r="14" spans="1:34" s="227" customFormat="1" ht="20" customHeight="1">
      <c r="A14" s="262"/>
      <c r="B14" s="182" t="s">
        <v>1098</v>
      </c>
      <c r="C14" s="186" t="s">
        <v>14925</v>
      </c>
      <c r="D14" s="230" t="s">
        <v>14925</v>
      </c>
      <c r="E14" s="182" t="s">
        <v>1075</v>
      </c>
      <c r="F14" s="182" t="s">
        <v>14926</v>
      </c>
      <c r="G14" s="182" t="s">
        <v>13177</v>
      </c>
      <c r="H14" s="183" t="s">
        <v>15856</v>
      </c>
      <c r="I14" s="184" t="s">
        <v>14979</v>
      </c>
      <c r="J14" s="184" t="s">
        <v>15857</v>
      </c>
      <c r="K14" s="224"/>
      <c r="L14" s="224"/>
      <c r="M14" s="224"/>
      <c r="N14" s="224">
        <v>-2146826246</v>
      </c>
      <c r="O14" s="224" t="s">
        <v>15835</v>
      </c>
      <c r="P14" s="185"/>
      <c r="Q14" s="225"/>
      <c r="R14" s="182" t="str">
        <f ca="1">IF(ISERROR($V14),"",OFFSET('Smelter Look-up'!$C$4,$V14-4,0)&amp;"")</f>
        <v>Emerald Jewel Industry India Limited (Unit 4)</v>
      </c>
      <c r="S14" s="181" t="str">
        <f t="shared" ca="1" si="2"/>
        <v>IN</v>
      </c>
      <c r="T14" s="181" t="str">
        <f ca="1">IF(B14="","",IF(ISERROR(MATCH($J14,SorP!$B$1:$B$6226,0)),"",INDIRECT("'SorP'!$A$"&amp;MATCH($S14&amp;$J14,SorP!C:C,0))))</f>
        <v/>
      </c>
      <c r="U14" s="201"/>
      <c r="V14" s="226">
        <f>IF(C14="",NA(),IF(OR(C14="Smelter not listed",C14="Smelter not yet identified"),MATCH($B14&amp;$D14,'Smelter Look-up'!$J:$J,0),MATCH($B14&amp;$C14,'Smelter Look-up'!$J:$J,0)))</f>
        <v>81</v>
      </c>
      <c r="X14" s="227">
        <f t="shared" si="3"/>
        <v>0</v>
      </c>
      <c r="AB14" s="228" t="str">
        <f t="shared" si="4"/>
        <v>GoldEmerald Jewel Industry India Limited (Unit 4)</v>
      </c>
    </row>
    <row r="15" spans="1:34" s="227" customFormat="1" ht="20" customHeight="1">
      <c r="A15" s="262"/>
      <c r="B15" s="182" t="s">
        <v>1098</v>
      </c>
      <c r="C15" s="186" t="s">
        <v>14923</v>
      </c>
      <c r="D15" s="230" t="s">
        <v>14923</v>
      </c>
      <c r="E15" s="182" t="s">
        <v>1075</v>
      </c>
      <c r="F15" s="182" t="s">
        <v>14924</v>
      </c>
      <c r="G15" s="182" t="s">
        <v>13177</v>
      </c>
      <c r="H15" s="183" t="s">
        <v>15856</v>
      </c>
      <c r="I15" s="184" t="s">
        <v>14979</v>
      </c>
      <c r="J15" s="184" t="s">
        <v>15857</v>
      </c>
      <c r="K15" s="224"/>
      <c r="L15" s="224"/>
      <c r="M15" s="224"/>
      <c r="N15" s="224">
        <v>-2146826246</v>
      </c>
      <c r="O15" s="224" t="s">
        <v>15835</v>
      </c>
      <c r="P15" s="185"/>
      <c r="Q15" s="225"/>
      <c r="R15" s="182" t="str">
        <f ca="1">IF(ISERROR($V15),"",OFFSET('Smelter Look-up'!$C$4,$V15-4,0)&amp;"")</f>
        <v>Emerald Jewel Industry India Limited (Unit 3)</v>
      </c>
      <c r="S15" s="181" t="str">
        <f t="shared" ca="1" si="2"/>
        <v>IN</v>
      </c>
      <c r="T15" s="181" t="str">
        <f ca="1">IF(B15="","",IF(ISERROR(MATCH($J15,SorP!$B$1:$B$6226,0)),"",INDIRECT("'SorP'!$A$"&amp;MATCH($S15&amp;$J15,SorP!C:C,0))))</f>
        <v/>
      </c>
      <c r="U15" s="201"/>
      <c r="V15" s="226">
        <f>IF(C15="",NA(),IF(OR(C15="Smelter not listed",C15="Smelter not yet identified"),MATCH($B15&amp;$D15,'Smelter Look-up'!$J:$J,0),MATCH($B15&amp;$C15,'Smelter Look-up'!$J:$J,0)))</f>
        <v>80</v>
      </c>
      <c r="X15" s="227">
        <f t="shared" si="3"/>
        <v>0</v>
      </c>
      <c r="AB15" s="228" t="str">
        <f t="shared" si="4"/>
        <v>GoldEmerald Jewel Industry India Limited (Unit 3)</v>
      </c>
    </row>
    <row r="16" spans="1:34" s="227" customFormat="1" ht="20" customHeight="1">
      <c r="A16" s="262"/>
      <c r="B16" s="182" t="s">
        <v>1098</v>
      </c>
      <c r="C16" s="186" t="s">
        <v>14921</v>
      </c>
      <c r="D16" s="230" t="s">
        <v>14921</v>
      </c>
      <c r="E16" s="182" t="s">
        <v>1075</v>
      </c>
      <c r="F16" s="182" t="s">
        <v>14922</v>
      </c>
      <c r="G16" s="182" t="s">
        <v>13177</v>
      </c>
      <c r="H16" s="183" t="s">
        <v>15856</v>
      </c>
      <c r="I16" s="184" t="s">
        <v>14979</v>
      </c>
      <c r="J16" s="184" t="s">
        <v>15857</v>
      </c>
      <c r="K16" s="224"/>
      <c r="L16" s="224"/>
      <c r="M16" s="224"/>
      <c r="N16" s="224">
        <v>-2146826246</v>
      </c>
      <c r="O16" s="224" t="s">
        <v>15835</v>
      </c>
      <c r="P16" s="185"/>
      <c r="Q16" s="225"/>
      <c r="R16" s="182" t="str">
        <f ca="1">IF(ISERROR($V16),"",OFFSET('Smelter Look-up'!$C$4,$V16-4,0)&amp;"")</f>
        <v>Emerald Jewel Industry India Limited (Unit 2)</v>
      </c>
      <c r="S16" s="181" t="str">
        <f t="shared" ca="1" si="2"/>
        <v>IN</v>
      </c>
      <c r="T16" s="181" t="str">
        <f ca="1">IF(B16="","",IF(ISERROR(MATCH($J16,SorP!$B$1:$B$6226,0)),"",INDIRECT("'SorP'!$A$"&amp;MATCH($S16&amp;$J16,SorP!C:C,0))))</f>
        <v/>
      </c>
      <c r="U16" s="201"/>
      <c r="V16" s="226">
        <f>IF(C16="",NA(),IF(OR(C16="Smelter not listed",C16="Smelter not yet identified"),MATCH($B16&amp;$D16,'Smelter Look-up'!$J:$J,0),MATCH($B16&amp;$C16,'Smelter Look-up'!$J:$J,0)))</f>
        <v>79</v>
      </c>
      <c r="X16" s="227">
        <f t="shared" si="3"/>
        <v>0</v>
      </c>
      <c r="AB16" s="228" t="str">
        <f t="shared" si="4"/>
        <v>GoldEmerald Jewel Industry India Limited (Unit 2)</v>
      </c>
    </row>
    <row r="17" spans="1:28" s="227" customFormat="1" ht="20" customHeight="1">
      <c r="A17" s="262"/>
      <c r="B17" s="182" t="s">
        <v>1098</v>
      </c>
      <c r="C17" s="186" t="s">
        <v>14919</v>
      </c>
      <c r="D17" s="230" t="s">
        <v>14919</v>
      </c>
      <c r="E17" s="182" t="s">
        <v>1075</v>
      </c>
      <c r="F17" s="182" t="s">
        <v>14920</v>
      </c>
      <c r="G17" s="182" t="s">
        <v>13177</v>
      </c>
      <c r="H17" s="183" t="s">
        <v>15856</v>
      </c>
      <c r="I17" s="184" t="s">
        <v>14979</v>
      </c>
      <c r="J17" s="184" t="s">
        <v>15857</v>
      </c>
      <c r="K17" s="224"/>
      <c r="L17" s="224"/>
      <c r="M17" s="224"/>
      <c r="N17" s="224">
        <v>-2146826246</v>
      </c>
      <c r="O17" s="224" t="s">
        <v>15835</v>
      </c>
      <c r="P17" s="185"/>
      <c r="Q17" s="225"/>
      <c r="R17" s="182" t="str">
        <f ca="1">IF(ISERROR($V17),"",OFFSET('Smelter Look-up'!$C$4,$V17-4,0)&amp;"")</f>
        <v>Emerald Jewel Industry India Limited (Unit 1)</v>
      </c>
      <c r="S17" s="181" t="str">
        <f t="shared" ca="1" si="2"/>
        <v>IN</v>
      </c>
      <c r="T17" s="181" t="str">
        <f ca="1">IF(B17="","",IF(ISERROR(MATCH($J17,SorP!$B$1:$B$6226,0)),"",INDIRECT("'SorP'!$A$"&amp;MATCH($S17&amp;$J17,SorP!C:C,0))))</f>
        <v/>
      </c>
      <c r="U17" s="201"/>
      <c r="V17" s="226">
        <f>IF(C17="",NA(),IF(OR(C17="Smelter not listed",C17="Smelter not yet identified"),MATCH($B17&amp;$D17,'Smelter Look-up'!$J:$J,0),MATCH($B17&amp;$C17,'Smelter Look-up'!$J:$J,0)))</f>
        <v>78</v>
      </c>
      <c r="X17" s="227">
        <f t="shared" si="3"/>
        <v>0</v>
      </c>
      <c r="AB17" s="228" t="str">
        <f t="shared" si="4"/>
        <v>GoldEmerald Jewel Industry India Limited (Unit 1)</v>
      </c>
    </row>
    <row r="18" spans="1:28" s="227" customFormat="1" ht="20" customHeight="1">
      <c r="A18" s="181"/>
      <c r="B18" s="182" t="s">
        <v>1098</v>
      </c>
      <c r="C18" s="186" t="s">
        <v>13757</v>
      </c>
      <c r="D18" s="230" t="s">
        <v>13757</v>
      </c>
      <c r="E18" s="182" t="s">
        <v>1075</v>
      </c>
      <c r="F18" s="182" t="s">
        <v>13772</v>
      </c>
      <c r="G18" s="182" t="s">
        <v>13177</v>
      </c>
      <c r="H18" s="183" t="s">
        <v>15858</v>
      </c>
      <c r="I18" s="184" t="s">
        <v>13784</v>
      </c>
      <c r="J18" s="184" t="s">
        <v>15844</v>
      </c>
      <c r="K18" s="224"/>
      <c r="L18" s="224"/>
      <c r="M18" s="224"/>
      <c r="N18" s="224">
        <v>-2146826246</v>
      </c>
      <c r="O18" s="224" t="s">
        <v>15835</v>
      </c>
      <c r="P18" s="185"/>
      <c r="Q18" s="225"/>
      <c r="R18" s="182" t="str">
        <f ca="1">IF(ISERROR($V18),"",OFFSET('Smelter Look-up'!$C$4,$V18-4,0)&amp;"")</f>
        <v>Kundan Care Products Ltd.</v>
      </c>
      <c r="S18" s="181" t="str">
        <f t="shared" ca="1" si="2"/>
        <v>IN</v>
      </c>
      <c r="T18" s="181" t="str">
        <f ca="1">IF(B18="","",IF(ISERROR(MATCH($J18,SorP!$B$1:$B$6226,0)),"",INDIRECT("'SorP'!$A$"&amp;MATCH($S18&amp;$J18,SorP!C:C,0))))</f>
        <v/>
      </c>
      <c r="U18" s="201"/>
      <c r="V18" s="226">
        <f>IF(C18="",NA(),IF(OR(C18="Smelter not listed",C18="Smelter not yet identified"),MATCH($B18&amp;$D18,'Smelter Look-up'!$J:$J,0),MATCH($B18&amp;$C18,'Smelter Look-up'!$J:$J,0)))</f>
        <v>153</v>
      </c>
      <c r="X18" s="227">
        <f t="shared" si="3"/>
        <v>0</v>
      </c>
      <c r="AB18" s="228" t="str">
        <f t="shared" si="4"/>
        <v>GoldKundan Care Products Ltd.</v>
      </c>
    </row>
    <row r="19" spans="1:28" s="227" customFormat="1" ht="27">
      <c r="A19" s="181"/>
      <c r="B19" s="182" t="s">
        <v>1098</v>
      </c>
      <c r="C19" s="186" t="s">
        <v>13745</v>
      </c>
      <c r="D19" s="230" t="s">
        <v>13745</v>
      </c>
      <c r="E19" s="182" t="s">
        <v>1075</v>
      </c>
      <c r="F19" s="182" t="s">
        <v>13767</v>
      </c>
      <c r="G19" s="182" t="s">
        <v>13177</v>
      </c>
      <c r="H19" s="183" t="s">
        <v>15859</v>
      </c>
      <c r="I19" s="184" t="s">
        <v>13781</v>
      </c>
      <c r="J19" s="184" t="s">
        <v>15280</v>
      </c>
      <c r="K19" s="224"/>
      <c r="L19" s="224"/>
      <c r="M19" s="224"/>
      <c r="N19" s="224">
        <v>-2146826246</v>
      </c>
      <c r="O19" s="224" t="s">
        <v>15835</v>
      </c>
      <c r="P19" s="185"/>
      <c r="Q19" s="225"/>
      <c r="R19" s="182" t="str">
        <f ca="1">IF(ISERROR($V19),"",OFFSET('Smelter Look-up'!$C$4,$V19-4,0)&amp;"")</f>
        <v>Augmont Enterprises Private Limited</v>
      </c>
      <c r="S19" s="181" t="str">
        <f t="shared" ca="1" si="2"/>
        <v>IN</v>
      </c>
      <c r="T19" s="181" t="str">
        <f ca="1">IF(B19="","",IF(ISERROR(MATCH($J19,SorP!$B$1:$B$6226,0)),"",INDIRECT("'SorP'!$A$"&amp;MATCH($S19&amp;$J19,SorP!C:C,0))))</f>
        <v>IN-MH</v>
      </c>
      <c r="U19" s="201"/>
      <c r="V19" s="226">
        <f>IF(C19="",NA(),IF(OR(C19="Smelter not listed",C19="Smelter not yet identified"),MATCH($B19&amp;$D19,'Smelter Look-up'!$J:$J,0),MATCH($B19&amp;$C19,'Smelter Look-up'!$J:$J,0)))</f>
        <v>38</v>
      </c>
      <c r="X19" s="227">
        <f t="shared" si="3"/>
        <v>0</v>
      </c>
      <c r="AB19" s="228" t="str">
        <f t="shared" si="4"/>
        <v>GoldAugmont Enterprises Private Limited</v>
      </c>
    </row>
    <row r="20" spans="1:28" s="227" customFormat="1" ht="27">
      <c r="A20" s="181"/>
      <c r="B20" s="182" t="s">
        <v>1098</v>
      </c>
      <c r="C20" s="186" t="s">
        <v>13749</v>
      </c>
      <c r="D20" s="230" t="s">
        <v>13749</v>
      </c>
      <c r="E20" s="182" t="s">
        <v>1077</v>
      </c>
      <c r="F20" s="182" t="s">
        <v>13769</v>
      </c>
      <c r="G20" s="182" t="s">
        <v>13177</v>
      </c>
      <c r="H20" s="183" t="s">
        <v>15860</v>
      </c>
      <c r="I20" s="184" t="s">
        <v>6634</v>
      </c>
      <c r="J20" s="184" t="s">
        <v>6634</v>
      </c>
      <c r="K20" s="224"/>
      <c r="L20" s="224"/>
      <c r="M20" s="224"/>
      <c r="N20" s="224" t="s">
        <v>15861</v>
      </c>
      <c r="O20" s="224" t="s">
        <v>15862</v>
      </c>
      <c r="P20" s="185"/>
      <c r="Q20" s="225" t="s">
        <v>15840</v>
      </c>
      <c r="R20" s="182" t="str">
        <f ca="1">IF(ISERROR($V20),"",OFFSET('Smelter Look-up'!$C$4,$V20-4,0)&amp;"")</f>
        <v>Eco-System Recycling Co., Ltd. West Plant</v>
      </c>
      <c r="S20" s="181" t="str">
        <f t="shared" ca="1" si="2"/>
        <v>JP</v>
      </c>
      <c r="T20" s="181" t="str">
        <f ca="1">IF(B20="","",IF(ISERROR(MATCH($J20,SorP!$B$1:$B$6226,0)),"",INDIRECT("'SorP'!$A$"&amp;MATCH($S20&amp;$J20,SorP!C:C,0))))</f>
        <v>JP-33</v>
      </c>
      <c r="U20" s="201"/>
      <c r="V20" s="226">
        <f>IF(C20="",NA(),IF(OR(C20="Smelter not listed",C20="Smelter not yet identified"),MATCH($B20&amp;$D20,'Smelter Look-up'!$J:$J,0),MATCH($B20&amp;$C20,'Smelter Look-up'!$J:$J,0)))</f>
        <v>75</v>
      </c>
      <c r="X20" s="227">
        <f t="shared" si="3"/>
        <v>0</v>
      </c>
      <c r="AB20" s="228" t="str">
        <f t="shared" si="4"/>
        <v>GoldEco-System Recycling Co., Ltd. West Plant</v>
      </c>
    </row>
    <row r="21" spans="1:28" s="227" customFormat="1" ht="27">
      <c r="A21" s="181"/>
      <c r="B21" s="182" t="s">
        <v>1098</v>
      </c>
      <c r="C21" s="186" t="s">
        <v>13748</v>
      </c>
      <c r="D21" s="230" t="s">
        <v>13748</v>
      </c>
      <c r="E21" s="182" t="s">
        <v>1077</v>
      </c>
      <c r="F21" s="182" t="s">
        <v>13768</v>
      </c>
      <c r="G21" s="182" t="s">
        <v>13177</v>
      </c>
      <c r="H21" s="183" t="s">
        <v>15863</v>
      </c>
      <c r="I21" s="184" t="s">
        <v>13782</v>
      </c>
      <c r="J21" s="184" t="s">
        <v>1542</v>
      </c>
      <c r="K21" s="224"/>
      <c r="L21" s="224"/>
      <c r="M21" s="224"/>
      <c r="N21" s="224" t="s">
        <v>15861</v>
      </c>
      <c r="O21" s="224" t="s">
        <v>15862</v>
      </c>
      <c r="P21" s="185"/>
      <c r="Q21" s="225" t="s">
        <v>15840</v>
      </c>
      <c r="R21" s="182" t="str">
        <f ca="1">IF(ISERROR($V21),"",OFFSET('Smelter Look-up'!$C$4,$V21-4,0)&amp;"")</f>
        <v>Eco-System Recycling Co., Ltd. North Plant</v>
      </c>
      <c r="S21" s="181" t="str">
        <f t="shared" ca="1" si="2"/>
        <v>JP</v>
      </c>
      <c r="T21" s="181" t="str">
        <f ca="1">IF(B21="","",IF(ISERROR(MATCH($J21,SorP!$B$1:$B$6226,0)),"",INDIRECT("'SorP'!$A$"&amp;MATCH($S21&amp;$J21,SorP!C:C,0))))</f>
        <v>JP-05</v>
      </c>
      <c r="U21" s="201"/>
      <c r="V21" s="226">
        <f>IF(C21="",NA(),IF(OR(C21="Smelter not listed",C21="Smelter not yet identified"),MATCH($B21&amp;$D21,'Smelter Look-up'!$J:$J,0),MATCH($B21&amp;$C21,'Smelter Look-up'!$J:$J,0)))</f>
        <v>74</v>
      </c>
      <c r="X21" s="227">
        <f t="shared" si="3"/>
        <v>0</v>
      </c>
      <c r="AB21" s="228" t="str">
        <f t="shared" si="4"/>
        <v>GoldEco-System Recycling Co., Ltd. North Plant</v>
      </c>
    </row>
    <row r="22" spans="1:28" s="227" customFormat="1" ht="27">
      <c r="A22" s="181"/>
      <c r="B22" s="182" t="s">
        <v>1098</v>
      </c>
      <c r="C22" s="186" t="s">
        <v>15864</v>
      </c>
      <c r="D22" s="230" t="s">
        <v>15864</v>
      </c>
      <c r="E22" s="182" t="s">
        <v>12931</v>
      </c>
      <c r="F22" s="182" t="s">
        <v>15865</v>
      </c>
      <c r="G22" s="182" t="s">
        <v>13177</v>
      </c>
      <c r="H22" s="183" t="s">
        <v>15866</v>
      </c>
      <c r="I22" s="184" t="s">
        <v>15867</v>
      </c>
      <c r="J22" s="184" t="s">
        <v>3880</v>
      </c>
      <c r="K22" s="224"/>
      <c r="L22" s="224"/>
      <c r="M22" s="224"/>
      <c r="N22" s="224">
        <v>-2146826246</v>
      </c>
      <c r="O22" s="224" t="s">
        <v>15835</v>
      </c>
      <c r="P22" s="185"/>
      <c r="Q22" s="225"/>
      <c r="R22" s="182" t="str">
        <f ca="1">IF(ISERROR($V22),"",OFFSET('Smelter Look-up'!$C$4,$V22-4,0)&amp;"")</f>
        <v/>
      </c>
      <c r="S22" s="181" t="str">
        <f t="shared" ca="1" si="2"/>
        <v>CO</v>
      </c>
      <c r="T22" s="181" t="str">
        <f ca="1">IF(B22="","",IF(ISERROR(MATCH($J22,SorP!$B$1:$B$6226,0)),"",INDIRECT("'SorP'!$A$"&amp;MATCH($S22&amp;$J22,SorP!C:C,0))))</f>
        <v>CO-CUN</v>
      </c>
      <c r="U22" s="201"/>
      <c r="V22" s="226" t="e">
        <f>IF(C22="",NA(),IF(OR(C22="Smelter not listed",C22="Smelter not yet identified"),MATCH($B22&amp;$D22,'Smelter Look-up'!$J:$J,0),MATCH($B22&amp;$C22,'Smelter Look-up'!$J:$J,0)))</f>
        <v>#N/A</v>
      </c>
      <c r="X22" s="227">
        <f t="shared" si="3"/>
        <v>0</v>
      </c>
      <c r="AB22" s="228" t="str">
        <f t="shared" si="4"/>
        <v>GoldC.I Metales Procesados Industriales SAS</v>
      </c>
    </row>
    <row r="23" spans="1:28" s="227" customFormat="1" ht="27">
      <c r="A23" s="181"/>
      <c r="B23" s="182" t="s">
        <v>1098</v>
      </c>
      <c r="C23" s="186" t="s">
        <v>13707</v>
      </c>
      <c r="D23" s="230" t="s">
        <v>13707</v>
      </c>
      <c r="E23" s="182" t="s">
        <v>1075</v>
      </c>
      <c r="F23" s="182" t="s">
        <v>13708</v>
      </c>
      <c r="G23" s="182" t="s">
        <v>13177</v>
      </c>
      <c r="H23" s="183" t="s">
        <v>15868</v>
      </c>
      <c r="I23" s="184" t="s">
        <v>14984</v>
      </c>
      <c r="J23" s="184" t="s">
        <v>15869</v>
      </c>
      <c r="K23" s="224"/>
      <c r="L23" s="224"/>
      <c r="M23" s="224"/>
      <c r="N23" s="224">
        <v>-2146826246</v>
      </c>
      <c r="O23" s="224" t="s">
        <v>15835</v>
      </c>
      <c r="P23" s="185"/>
      <c r="Q23" s="225"/>
      <c r="R23" s="182" t="str">
        <f ca="1">IF(ISERROR($V23),"",OFFSET('Smelter Look-up'!$C$4,$V23-4,0)&amp;"")</f>
        <v>Sovereign Metals</v>
      </c>
      <c r="S23" s="181" t="str">
        <f t="shared" ca="1" si="2"/>
        <v>IN</v>
      </c>
      <c r="T23" s="181" t="str">
        <f ca="1">IF(B23="","",IF(ISERROR(MATCH($J23,SorP!$B$1:$B$6226,0)),"",INDIRECT("'SorP'!$A$"&amp;MATCH($S23&amp;$J23,SorP!C:C,0))))</f>
        <v/>
      </c>
      <c r="U23" s="201"/>
      <c r="V23" s="226">
        <f>IF(C23="",NA(),IF(OR(C23="Smelter not listed",C23="Smelter not yet identified"),MATCH($B23&amp;$D23,'Smelter Look-up'!$J:$J,0),MATCH($B23&amp;$C23,'Smelter Look-up'!$J:$J,0)))</f>
        <v>270</v>
      </c>
      <c r="X23" s="227">
        <f t="shared" si="3"/>
        <v>0</v>
      </c>
      <c r="AB23" s="228" t="str">
        <f t="shared" si="4"/>
        <v>GoldSovereign Metals</v>
      </c>
    </row>
    <row r="24" spans="1:28" s="227" customFormat="1" ht="27">
      <c r="A24" s="181"/>
      <c r="B24" s="182" t="s">
        <v>1098</v>
      </c>
      <c r="C24" s="186" t="s">
        <v>13696</v>
      </c>
      <c r="D24" s="230" t="s">
        <v>13696</v>
      </c>
      <c r="E24" s="182" t="s">
        <v>1075</v>
      </c>
      <c r="F24" s="182" t="s">
        <v>13697</v>
      </c>
      <c r="G24" s="182" t="s">
        <v>13177</v>
      </c>
      <c r="H24" s="183" t="s">
        <v>15870</v>
      </c>
      <c r="I24" s="184" t="s">
        <v>13742</v>
      </c>
      <c r="J24" s="184" t="s">
        <v>6134</v>
      </c>
      <c r="K24" s="224"/>
      <c r="L24" s="224"/>
      <c r="M24" s="224"/>
      <c r="N24" s="224">
        <v>-2146826246</v>
      </c>
      <c r="O24" s="224" t="s">
        <v>15835</v>
      </c>
      <c r="P24" s="185"/>
      <c r="Q24" s="225"/>
      <c r="R24" s="182" t="str">
        <f ca="1">IF(ISERROR($V24),"",OFFSET('Smelter Look-up'!$C$4,$V24-4,0)&amp;"")</f>
        <v>CGR Metalloys Pvt Ltd.</v>
      </c>
      <c r="S24" s="181" t="str">
        <f t="shared" ca="1" si="2"/>
        <v>IN</v>
      </c>
      <c r="T24" s="181" t="str">
        <f ca="1">IF(B24="","",IF(ISERROR(MATCH($J24,SorP!$B$1:$B$6226,0)),"",INDIRECT("'SorP'!$A$"&amp;MATCH($S24&amp;$J24,SorP!C:C,0))))</f>
        <v>IN-KL</v>
      </c>
      <c r="U24" s="201"/>
      <c r="V24" s="226">
        <f>IF(C24="",NA(),IF(OR(C24="Smelter not listed",C24="Smelter not yet identified"),MATCH($B24&amp;$D24,'Smelter Look-up'!$J:$J,0),MATCH($B24&amp;$C24,'Smelter Look-up'!$J:$J,0)))</f>
        <v>53</v>
      </c>
      <c r="X24" s="227">
        <f t="shared" si="3"/>
        <v>0</v>
      </c>
      <c r="AB24" s="228" t="str">
        <f t="shared" si="4"/>
        <v>GoldCGR Metalloys Pvt Ltd.</v>
      </c>
    </row>
    <row r="25" spans="1:28" s="227" customFormat="1" ht="27">
      <c r="A25" s="181"/>
      <c r="B25" s="182" t="s">
        <v>1098</v>
      </c>
      <c r="C25" s="186" t="s">
        <v>13698</v>
      </c>
      <c r="D25" s="230" t="s">
        <v>13698</v>
      </c>
      <c r="E25" s="182" t="s">
        <v>1061</v>
      </c>
      <c r="F25" s="182" t="s">
        <v>13699</v>
      </c>
      <c r="G25" s="182" t="s">
        <v>13177</v>
      </c>
      <c r="H25" s="183" t="s">
        <v>15871</v>
      </c>
      <c r="I25" s="184" t="s">
        <v>13734</v>
      </c>
      <c r="J25" s="184" t="s">
        <v>2520</v>
      </c>
      <c r="K25" s="224"/>
      <c r="L25" s="224"/>
      <c r="M25" s="224"/>
      <c r="N25" s="224">
        <v>-2146826246</v>
      </c>
      <c r="O25" s="224" t="s">
        <v>15872</v>
      </c>
      <c r="P25" s="185"/>
      <c r="Q25" s="225"/>
      <c r="R25" s="182" t="str">
        <f ca="1">IF(ISERROR($V25),"",OFFSET('Smelter Look-up'!$C$4,$V25-4,0)&amp;"")</f>
        <v>Dijllah Gold Refinery FZC</v>
      </c>
      <c r="S25" s="181" t="str">
        <f t="shared" ca="1" si="2"/>
        <v>AE</v>
      </c>
      <c r="T25" s="181" t="str">
        <f ca="1">IF(B25="","",IF(ISERROR(MATCH($J25,SorP!$B$1:$B$6226,0)),"",INDIRECT("'SorP'!$A$"&amp;MATCH($S25&amp;$J25,SorP!C:C,0))))</f>
        <v>AE-SH</v>
      </c>
      <c r="U25" s="201"/>
      <c r="V25" s="226">
        <f>IF(C25="",NA(),IF(OR(C25="Smelter not listed",C25="Smelter not yet identified"),MATCH($B25&amp;$D25,'Smelter Look-up'!$J:$J,0),MATCH($B25&amp;$C25,'Smelter Look-up'!$J:$J,0)))</f>
        <v>64</v>
      </c>
      <c r="X25" s="227">
        <f t="shared" si="3"/>
        <v>0</v>
      </c>
      <c r="AB25" s="228" t="str">
        <f t="shared" si="4"/>
        <v>GoldDijllah Gold Refinery FZC</v>
      </c>
    </row>
    <row r="26" spans="1:28" s="227" customFormat="1" ht="216">
      <c r="A26" s="181"/>
      <c r="B26" s="182" t="s">
        <v>1098</v>
      </c>
      <c r="C26" s="186" t="s">
        <v>13116</v>
      </c>
      <c r="D26" s="230" t="s">
        <v>13116</v>
      </c>
      <c r="E26" s="182" t="s">
        <v>2384</v>
      </c>
      <c r="F26" s="182" t="s">
        <v>13117</v>
      </c>
      <c r="G26" s="182" t="s">
        <v>13177</v>
      </c>
      <c r="H26" s="183" t="s">
        <v>15873</v>
      </c>
      <c r="I26" s="184" t="s">
        <v>13176</v>
      </c>
      <c r="J26" s="184" t="s">
        <v>1601</v>
      </c>
      <c r="K26" s="224"/>
      <c r="L26" s="224"/>
      <c r="M26" s="224"/>
      <c r="N26" s="224">
        <v>-2146826246</v>
      </c>
      <c r="O26" s="224" t="s">
        <v>15874</v>
      </c>
      <c r="P26" s="185"/>
      <c r="Q26" s="225"/>
      <c r="R26" s="182" t="str">
        <f ca="1">IF(ISERROR($V26),"",OFFSET('Smelter Look-up'!$C$4,$V26-4,0)&amp;"")</f>
        <v>QG Refining, LLC</v>
      </c>
      <c r="S26" s="181" t="str">
        <f t="shared" ca="1" si="2"/>
        <v>US</v>
      </c>
      <c r="T26" s="181" t="str">
        <f ca="1">IF(B26="","",IF(ISERROR(MATCH($J26,SorP!$B$1:$B$6226,0)),"",INDIRECT("'SorP'!$A$"&amp;MATCH($S26&amp;$J26,SorP!C:C,0))))</f>
        <v>US-OH</v>
      </c>
      <c r="U26" s="201"/>
      <c r="V26" s="226">
        <f>IF(C26="",NA(),IF(OR(C26="Smelter not listed",C26="Smelter not yet identified"),MATCH($B26&amp;$D26,'Smelter Look-up'!$J:$J,0),MATCH($B26&amp;$C26,'Smelter Look-up'!$J:$J,0)))</f>
        <v>223</v>
      </c>
      <c r="X26" s="227">
        <f t="shared" si="3"/>
        <v>0</v>
      </c>
      <c r="AB26" s="228" t="str">
        <f t="shared" si="4"/>
        <v>GoldQG Refining, LLC</v>
      </c>
    </row>
    <row r="27" spans="1:28" s="227" customFormat="1" ht="20">
      <c r="A27" s="181"/>
      <c r="B27" s="182" t="s">
        <v>1098</v>
      </c>
      <c r="C27" s="186" t="s">
        <v>12867</v>
      </c>
      <c r="D27" s="230" t="s">
        <v>12867</v>
      </c>
      <c r="E27" s="182" t="s">
        <v>1080</v>
      </c>
      <c r="F27" s="182" t="s">
        <v>12868</v>
      </c>
      <c r="G27" s="182" t="s">
        <v>13177</v>
      </c>
      <c r="H27" s="183" t="s">
        <v>15875</v>
      </c>
      <c r="I27" s="184" t="s">
        <v>12884</v>
      </c>
      <c r="J27" s="184" t="s">
        <v>12818</v>
      </c>
      <c r="K27" s="224"/>
      <c r="L27" s="224"/>
      <c r="M27" s="224"/>
      <c r="N27" s="224" t="s">
        <v>15876</v>
      </c>
      <c r="O27" s="224" t="s">
        <v>15877</v>
      </c>
      <c r="P27" s="185"/>
      <c r="Q27" s="225" t="s">
        <v>15840</v>
      </c>
      <c r="R27" s="182" t="str">
        <f ca="1">IF(ISERROR($V27),"",OFFSET('Smelter Look-up'!$C$4,$V27-4,0)&amp;"")</f>
        <v>NH Recytech Company</v>
      </c>
      <c r="S27" s="181" t="str">
        <f t="shared" ca="1" si="2"/>
        <v>KR</v>
      </c>
      <c r="T27" s="181" t="str">
        <f ca="1">IF(B27="","",IF(ISERROR(MATCH($J27,SorP!$B$1:$B$6226,0)),"",INDIRECT("'SorP'!$A$"&amp;MATCH($S27&amp;$J27,SorP!C:C,0))))</f>
        <v>KR-41</v>
      </c>
      <c r="U27" s="201"/>
      <c r="V27" s="226">
        <f>IF(C27="",NA(),IF(OR(C27="Smelter not listed",C27="Smelter not yet identified"),MATCH($B27&amp;$D27,'Smelter Look-up'!$J:$J,0),MATCH($B27&amp;$C27,'Smelter Look-up'!$J:$J,0)))</f>
        <v>200</v>
      </c>
      <c r="X27" s="227">
        <f t="shared" si="3"/>
        <v>0</v>
      </c>
      <c r="AB27" s="228" t="str">
        <f t="shared" si="4"/>
        <v>GoldNH Recytech Company</v>
      </c>
    </row>
    <row r="28" spans="1:28" s="227" customFormat="1" ht="27">
      <c r="A28" s="181"/>
      <c r="B28" s="182" t="s">
        <v>1098</v>
      </c>
      <c r="C28" s="186" t="s">
        <v>13751</v>
      </c>
      <c r="D28" s="230" t="s">
        <v>13751</v>
      </c>
      <c r="E28" s="182" t="s">
        <v>12958</v>
      </c>
      <c r="F28" s="182" t="s">
        <v>13770</v>
      </c>
      <c r="G28" s="182" t="s">
        <v>13177</v>
      </c>
      <c r="H28" s="183" t="s">
        <v>15878</v>
      </c>
      <c r="I28" s="184" t="s">
        <v>13934</v>
      </c>
      <c r="J28" s="184" t="s">
        <v>13934</v>
      </c>
      <c r="K28" s="224"/>
      <c r="L28" s="224"/>
      <c r="M28" s="224"/>
      <c r="N28" s="224">
        <v>-2146826246</v>
      </c>
      <c r="O28" s="224" t="s">
        <v>15835</v>
      </c>
      <c r="P28" s="185"/>
      <c r="Q28" s="225"/>
      <c r="R28" s="182" t="str">
        <f ca="1">IF(ISERROR($V28),"",OFFSET('Smelter Look-up'!$C$4,$V28-4,0)&amp;"")</f>
        <v>Gold Coast Refinery</v>
      </c>
      <c r="S28" s="181" t="str">
        <f t="shared" ca="1" si="2"/>
        <v>GH</v>
      </c>
      <c r="T28" s="181" t="str">
        <f ca="1">IF(B28="","",IF(ISERROR(MATCH($J28,SorP!$B$1:$B$6226,0)),"",INDIRECT("'SorP'!$A$"&amp;MATCH($S28&amp;$J28,SorP!C:C,0))))</f>
        <v/>
      </c>
      <c r="U28" s="201"/>
      <c r="V28" s="226">
        <f>IF(C28="",NA(),IF(OR(C28="Smelter not listed",C28="Smelter not yet identified"),MATCH($B28&amp;$D28,'Smelter Look-up'!$J:$J,0),MATCH($B28&amp;$C28,'Smelter Look-up'!$J:$J,0)))</f>
        <v>93</v>
      </c>
      <c r="X28" s="227">
        <f t="shared" si="3"/>
        <v>0</v>
      </c>
      <c r="AB28" s="228" t="str">
        <f t="shared" si="4"/>
        <v>GoldGold Coast Refinery</v>
      </c>
    </row>
    <row r="29" spans="1:28" s="227" customFormat="1" ht="20">
      <c r="A29" s="181"/>
      <c r="B29" s="182" t="s">
        <v>1098</v>
      </c>
      <c r="C29" s="186" t="s">
        <v>12864</v>
      </c>
      <c r="D29" s="230" t="s">
        <v>12864</v>
      </c>
      <c r="E29" s="182" t="s">
        <v>861</v>
      </c>
      <c r="F29" s="182" t="s">
        <v>12865</v>
      </c>
      <c r="G29" s="182" t="s">
        <v>13177</v>
      </c>
      <c r="H29" s="183" t="s">
        <v>15879</v>
      </c>
      <c r="I29" s="184" t="s">
        <v>12888</v>
      </c>
      <c r="J29" s="184" t="s">
        <v>11613</v>
      </c>
      <c r="K29" s="224"/>
      <c r="L29" s="224"/>
      <c r="M29" s="224"/>
      <c r="N29" s="224">
        <v>-2146826246</v>
      </c>
      <c r="O29" s="224" t="s">
        <v>15880</v>
      </c>
      <c r="P29" s="185"/>
      <c r="Q29" s="225"/>
      <c r="R29" s="182" t="str">
        <f ca="1">IF(ISERROR($V29),"",OFFSET('Smelter Look-up'!$C$4,$V29-4,0)&amp;"")</f>
        <v>African Gold Refinery</v>
      </c>
      <c r="S29" s="181" t="str">
        <f t="shared" ca="1" si="2"/>
        <v>UG</v>
      </c>
      <c r="T29" s="181" t="str">
        <f ca="1">IF(B29="","",IF(ISERROR(MATCH($J29,SorP!$B$1:$B$6226,0)),"",INDIRECT("'SorP'!$A$"&amp;MATCH($S29&amp;$J29,SorP!C:C,0))))</f>
        <v>UG-113</v>
      </c>
      <c r="U29" s="201"/>
      <c r="V29" s="226">
        <f>IF(C29="",NA(),IF(OR(C29="Smelter not listed",C29="Smelter not yet identified"),MATCH($B29&amp;$D29,'Smelter Look-up'!$J:$J,0),MATCH($B29&amp;$C29,'Smelter Look-up'!$J:$J,0)))</f>
        <v>9</v>
      </c>
      <c r="X29" s="227">
        <f t="shared" si="3"/>
        <v>0</v>
      </c>
      <c r="AB29" s="228" t="str">
        <f t="shared" si="4"/>
        <v>GoldAfrican Gold Refinery</v>
      </c>
    </row>
    <row r="30" spans="1:28" s="227" customFormat="1" ht="27">
      <c r="A30" s="181"/>
      <c r="B30" s="182" t="s">
        <v>1098</v>
      </c>
      <c r="C30" s="186" t="s">
        <v>2471</v>
      </c>
      <c r="D30" s="230" t="s">
        <v>2471</v>
      </c>
      <c r="E30" s="182" t="s">
        <v>1081</v>
      </c>
      <c r="F30" s="182" t="s">
        <v>2472</v>
      </c>
      <c r="G30" s="182" t="s">
        <v>13177</v>
      </c>
      <c r="H30" s="183" t="s">
        <v>15881</v>
      </c>
      <c r="I30" s="184" t="s">
        <v>2473</v>
      </c>
      <c r="J30" s="184" t="s">
        <v>2473</v>
      </c>
      <c r="K30" s="224"/>
      <c r="L30" s="224"/>
      <c r="M30" s="224"/>
      <c r="N30" s="224">
        <v>-2146826246</v>
      </c>
      <c r="O30" s="224" t="s">
        <v>15882</v>
      </c>
      <c r="P30" s="185"/>
      <c r="Q30" s="225"/>
      <c r="R30" s="182" t="str">
        <f ca="1">IF(ISERROR($V30),"",OFFSET('Smelter Look-up'!$C$4,$V30-4,0)&amp;"")</f>
        <v>State Research Institute Center for Physical Sciences and Technology</v>
      </c>
      <c r="S30" s="181" t="str">
        <f t="shared" ca="1" si="2"/>
        <v>LT</v>
      </c>
      <c r="T30" s="181" t="str">
        <f ca="1">IF(B30="","",IF(ISERROR(MATCH($J30,SorP!$B$1:$B$6226,0)),"",INDIRECT("'SorP'!$A$"&amp;MATCH($S30&amp;$J30,SorP!C:C,0))))</f>
        <v>LT-58</v>
      </c>
      <c r="U30" s="201"/>
      <c r="V30" s="226">
        <f>IF(C30="",NA(),IF(OR(C30="Smelter not listed",C30="Smelter not yet identified"),MATCH($B30&amp;$D30,'Smelter Look-up'!$J:$J,0),MATCH($B30&amp;$C30,'Smelter Look-up'!$J:$J,0)))</f>
        <v>271</v>
      </c>
      <c r="X30" s="227">
        <f t="shared" si="3"/>
        <v>0</v>
      </c>
      <c r="AB30" s="228" t="str">
        <f t="shared" si="4"/>
        <v>GoldState Research Institute Center for Physical Sciences and Technology</v>
      </c>
    </row>
    <row r="31" spans="1:28" s="227" customFormat="1" ht="27">
      <c r="A31" s="181"/>
      <c r="B31" s="182" t="s">
        <v>1098</v>
      </c>
      <c r="C31" s="186" t="s">
        <v>2469</v>
      </c>
      <c r="D31" s="230" t="s">
        <v>2469</v>
      </c>
      <c r="E31" s="182" t="s">
        <v>1076</v>
      </c>
      <c r="F31" s="182" t="s">
        <v>2470</v>
      </c>
      <c r="G31" s="182" t="s">
        <v>13177</v>
      </c>
      <c r="H31" s="183" t="s">
        <v>15883</v>
      </c>
      <c r="I31" s="184" t="s">
        <v>1536</v>
      </c>
      <c r="J31" s="184" t="s">
        <v>6417</v>
      </c>
      <c r="K31" s="224"/>
      <c r="L31" s="224"/>
      <c r="M31" s="224"/>
      <c r="N31" s="224" t="s">
        <v>15884</v>
      </c>
      <c r="O31" s="224" t="s">
        <v>15885</v>
      </c>
      <c r="P31" s="185"/>
      <c r="Q31" s="225" t="s">
        <v>15840</v>
      </c>
      <c r="R31" s="182" t="str">
        <f ca="1">IF(ISERROR($V31),"",OFFSET('Smelter Look-up'!$C$4,$V31-4,0)&amp;"")</f>
        <v>Safimet S.p.A</v>
      </c>
      <c r="S31" s="181" t="str">
        <f t="shared" ca="1" si="2"/>
        <v>IT</v>
      </c>
      <c r="T31" s="181" t="str">
        <f ca="1">IF(B31="","",IF(ISERROR(MATCH($J31,SorP!$B$1:$B$6226,0)),"",INDIRECT("'SorP'!$A$"&amp;MATCH($S31&amp;$J31,SorP!C:C,0))))</f>
        <v>IT-52</v>
      </c>
      <c r="U31" s="201"/>
      <c r="V31" s="226">
        <f>IF(C31="",NA(),IF(OR(C31="Smelter not listed",C31="Smelter not yet identified"),MATCH($B31&amp;$D31,'Smelter Look-up'!$J:$J,0),MATCH($B31&amp;$C31,'Smelter Look-up'!$J:$J,0)))</f>
        <v>232</v>
      </c>
      <c r="X31" s="227">
        <f t="shared" si="3"/>
        <v>0</v>
      </c>
      <c r="AB31" s="228" t="str">
        <f t="shared" si="4"/>
        <v>GoldSafimet S.p.A</v>
      </c>
    </row>
    <row r="32" spans="1:28" s="227" customFormat="1" ht="108">
      <c r="A32" s="181"/>
      <c r="B32" s="182" t="s">
        <v>1098</v>
      </c>
      <c r="C32" s="186" t="s">
        <v>2465</v>
      </c>
      <c r="D32" s="230" t="s">
        <v>2465</v>
      </c>
      <c r="E32" s="182" t="s">
        <v>1068</v>
      </c>
      <c r="F32" s="182" t="s">
        <v>2466</v>
      </c>
      <c r="G32" s="182" t="s">
        <v>13177</v>
      </c>
      <c r="H32" s="183" t="s">
        <v>15886</v>
      </c>
      <c r="I32" s="184" t="s">
        <v>2467</v>
      </c>
      <c r="J32" s="184" t="s">
        <v>2468</v>
      </c>
      <c r="K32" s="224"/>
      <c r="L32" s="224"/>
      <c r="M32" s="224"/>
      <c r="N32" s="224" t="s">
        <v>12533</v>
      </c>
      <c r="O32" s="224" t="s">
        <v>15887</v>
      </c>
      <c r="P32" s="185"/>
      <c r="Q32" s="225" t="s">
        <v>15840</v>
      </c>
      <c r="R32" s="182" t="str">
        <f ca="1">IF(ISERROR($V32),"",OFFSET('Smelter Look-up'!$C$4,$V32-4,0)&amp;"")</f>
        <v>Planta Recuperadora de Metales SpA</v>
      </c>
      <c r="S32" s="181" t="str">
        <f t="shared" ca="1" si="2"/>
        <v>CL</v>
      </c>
      <c r="T32" s="181" t="str">
        <f ca="1">IF(B32="","",IF(ISERROR(MATCH($J32,SorP!$B$1:$B$6226,0)),"",INDIRECT("'SorP'!$A$"&amp;MATCH($S32&amp;$J32,SorP!C:C,0))))</f>
        <v>CL-AN</v>
      </c>
      <c r="U32" s="201"/>
      <c r="V32" s="226">
        <f>IF(C32="",NA(),IF(OR(C32="Smelter not listed",C32="Smelter not yet identified"),MATCH($B32&amp;$D32,'Smelter Look-up'!$J:$J,0),MATCH($B32&amp;$C32,'Smelter Look-up'!$J:$J,0)))</f>
        <v>217</v>
      </c>
      <c r="X32" s="227">
        <f t="shared" si="3"/>
        <v>0</v>
      </c>
      <c r="AB32" s="228" t="str">
        <f t="shared" si="4"/>
        <v>GoldPlanta Recuperadora de Metales SpA</v>
      </c>
    </row>
    <row r="33" spans="1:28" s="227" customFormat="1" ht="202.5">
      <c r="A33" s="181"/>
      <c r="B33" s="182" t="s">
        <v>1098</v>
      </c>
      <c r="C33" s="186" t="s">
        <v>12872</v>
      </c>
      <c r="D33" s="230" t="s">
        <v>12872</v>
      </c>
      <c r="E33" s="182" t="s">
        <v>1080</v>
      </c>
      <c r="F33" s="182" t="s">
        <v>2404</v>
      </c>
      <c r="G33" s="182" t="s">
        <v>13177</v>
      </c>
      <c r="H33" s="183" t="s">
        <v>15888</v>
      </c>
      <c r="I33" s="184" t="s">
        <v>12885</v>
      </c>
      <c r="J33" s="184" t="s">
        <v>12821</v>
      </c>
      <c r="K33" s="224"/>
      <c r="L33" s="224"/>
      <c r="M33" s="224"/>
      <c r="N33" s="224" t="s">
        <v>15861</v>
      </c>
      <c r="O33" s="224" t="s">
        <v>15889</v>
      </c>
      <c r="P33" s="185"/>
      <c r="Q33" s="225" t="s">
        <v>15840</v>
      </c>
      <c r="R33" s="182" t="str">
        <f ca="1">IF(ISERROR($V33),"",OFFSET('Smelter Look-up'!$C$4,$V33-4,0)&amp;"")</f>
        <v>SungEel HiMetal Co., Ltd.</v>
      </c>
      <c r="S33" s="181" t="str">
        <f t="shared" ca="1" si="2"/>
        <v>KR</v>
      </c>
      <c r="T33" s="181" t="str">
        <f ca="1">IF(B33="","",IF(ISERROR(MATCH($J33,SorP!$B$1:$B$6226,0)),"",INDIRECT("'SorP'!$A$"&amp;MATCH($S33&amp;$J33,SorP!C:C,0))))</f>
        <v>KR-45</v>
      </c>
      <c r="U33" s="201"/>
      <c r="V33" s="226">
        <f>IF(C33="",NA(),IF(OR(C33="Smelter not listed",C33="Smelter not yet identified"),MATCH($B33&amp;$D33,'Smelter Look-up'!$J:$J,0),MATCH($B33&amp;$C33,'Smelter Look-up'!$J:$J,0)))</f>
        <v>275</v>
      </c>
      <c r="X33" s="227">
        <f t="shared" si="3"/>
        <v>0</v>
      </c>
      <c r="AB33" s="228" t="str">
        <f t="shared" si="4"/>
        <v>GoldSungEel HiMetal Co., Ltd.</v>
      </c>
    </row>
    <row r="34" spans="1:28" s="227" customFormat="1" ht="27">
      <c r="A34" s="181"/>
      <c r="B34" s="182" t="s">
        <v>1098</v>
      </c>
      <c r="C34" s="186" t="s">
        <v>13756</v>
      </c>
      <c r="D34" s="230" t="s">
        <v>13756</v>
      </c>
      <c r="E34" s="182" t="s">
        <v>1075</v>
      </c>
      <c r="F34" s="182" t="s">
        <v>13771</v>
      </c>
      <c r="G34" s="182" t="s">
        <v>13177</v>
      </c>
      <c r="H34" s="183" t="s">
        <v>15890</v>
      </c>
      <c r="I34" s="184" t="s">
        <v>13783</v>
      </c>
      <c r="J34" s="184" t="s">
        <v>6149</v>
      </c>
      <c r="K34" s="224"/>
      <c r="L34" s="224"/>
      <c r="M34" s="224"/>
      <c r="N34" s="224">
        <v>-2146826246</v>
      </c>
      <c r="O34" s="224" t="s">
        <v>15835</v>
      </c>
      <c r="P34" s="185"/>
      <c r="Q34" s="225"/>
      <c r="R34" s="182" t="str">
        <f ca="1">IF(ISERROR($V34),"",OFFSET('Smelter Look-up'!$C$4,$V34-4,0)&amp;"")</f>
        <v>JALAN &amp; Company</v>
      </c>
      <c r="S34" s="181" t="str">
        <f t="shared" ca="1" si="2"/>
        <v>IN</v>
      </c>
      <c r="T34" s="181" t="str">
        <f ca="1">IF(B34="","",IF(ISERROR(MATCH($J34,SorP!$B$1:$B$6226,0)),"",INDIRECT("'SorP'!$A$"&amp;MATCH($S34&amp;$J34,SorP!C:C,0))))</f>
        <v>IN-DL</v>
      </c>
      <c r="U34" s="201"/>
      <c r="V34" s="226">
        <f>IF(C34="",NA(),IF(OR(C34="Smelter not listed",C34="Smelter not yet identified"),MATCH($B34&amp;$D34,'Smelter Look-up'!$J:$J,0),MATCH($B34&amp;$C34,'Smelter Look-up'!$J:$J,0)))</f>
        <v>126</v>
      </c>
      <c r="X34" s="227">
        <f t="shared" si="3"/>
        <v>0</v>
      </c>
      <c r="AB34" s="228" t="str">
        <f t="shared" si="4"/>
        <v>GoldJALAN &amp; Company</v>
      </c>
    </row>
    <row r="35" spans="1:28" s="227" customFormat="1" ht="27">
      <c r="A35" s="181"/>
      <c r="B35" s="182" t="s">
        <v>1098</v>
      </c>
      <c r="C35" s="186" t="s">
        <v>2393</v>
      </c>
      <c r="D35" s="230" t="s">
        <v>2393</v>
      </c>
      <c r="E35" s="182" t="s">
        <v>2384</v>
      </c>
      <c r="F35" s="182" t="s">
        <v>2394</v>
      </c>
      <c r="G35" s="182" t="s">
        <v>13177</v>
      </c>
      <c r="H35" s="183" t="s">
        <v>15891</v>
      </c>
      <c r="I35" s="184" t="s">
        <v>1506</v>
      </c>
      <c r="J35" s="184" t="s">
        <v>1507</v>
      </c>
      <c r="K35" s="224"/>
      <c r="L35" s="224"/>
      <c r="M35" s="224"/>
      <c r="N35" s="224">
        <v>-2146826246</v>
      </c>
      <c r="O35" s="224" t="s">
        <v>15892</v>
      </c>
      <c r="P35" s="185"/>
      <c r="Q35" s="225"/>
      <c r="R35" s="182" t="str">
        <f ca="1">IF(ISERROR($V35),"",OFFSET('Smelter Look-up'!$C$4,$V35-4,0)&amp;"")</f>
        <v>Pease &amp; Curren</v>
      </c>
      <c r="S35" s="181" t="str">
        <f t="shared" ca="1" si="2"/>
        <v>US</v>
      </c>
      <c r="T35" s="181" t="str">
        <f ca="1">IF(B35="","",IF(ISERROR(MATCH($J35,SorP!$B$1:$B$6226,0)),"",INDIRECT("'SorP'!$A$"&amp;MATCH($S35&amp;$J35,SorP!C:C,0))))</f>
        <v>US-RI</v>
      </c>
      <c r="U35" s="201"/>
      <c r="V35" s="226">
        <f>IF(C35="",NA(),IF(OR(C35="Smelter not listed",C35="Smelter not yet identified"),MATCH($B35&amp;$D35,'Smelter Look-up'!$J:$J,0),MATCH($B35&amp;$C35,'Smelter Look-up'!$J:$J,0)))</f>
        <v>213</v>
      </c>
      <c r="X35" s="227">
        <f t="shared" si="3"/>
        <v>0</v>
      </c>
      <c r="AB35" s="228" t="str">
        <f t="shared" si="4"/>
        <v>GoldPease &amp; Curren</v>
      </c>
    </row>
    <row r="36" spans="1:28" s="227" customFormat="1" ht="27">
      <c r="A36" s="181"/>
      <c r="B36" s="182" t="s">
        <v>1098</v>
      </c>
      <c r="C36" s="186" t="s">
        <v>2388</v>
      </c>
      <c r="D36" s="230" t="s">
        <v>2388</v>
      </c>
      <c r="E36" s="182" t="s">
        <v>1070</v>
      </c>
      <c r="F36" s="182" t="s">
        <v>2389</v>
      </c>
      <c r="G36" s="182" t="s">
        <v>13177</v>
      </c>
      <c r="H36" s="183" t="s">
        <v>15893</v>
      </c>
      <c r="I36" s="184" t="s">
        <v>1510</v>
      </c>
      <c r="J36" s="184" t="s">
        <v>1511</v>
      </c>
      <c r="K36" s="224"/>
      <c r="L36" s="224"/>
      <c r="M36" s="224"/>
      <c r="N36" s="224">
        <v>-2146826246</v>
      </c>
      <c r="O36" s="224" t="s">
        <v>15894</v>
      </c>
      <c r="P36" s="185"/>
      <c r="Q36" s="225"/>
      <c r="R36" s="182" t="str">
        <f ca="1">IF(ISERROR($V36),"",OFFSET('Smelter Look-up'!$C$4,$V36-4,0)&amp;"")</f>
        <v>Degussa Sonne / Mond Goldhandel GmbH</v>
      </c>
      <c r="S36" s="181" t="str">
        <f t="shared" ca="1" si="2"/>
        <v>DE</v>
      </c>
      <c r="T36" s="181" t="str">
        <f ca="1">IF(B36="","",IF(ISERROR(MATCH($J36,SorP!$B$1:$B$6226,0)),"",INDIRECT("'SorP'!$A$"&amp;MATCH($S36&amp;$J36,SorP!C:C,0))))</f>
        <v>DE-BW</v>
      </c>
      <c r="U36" s="201"/>
      <c r="V36" s="226">
        <f>IF(C36="",NA(),IF(OR(C36="Smelter not listed",C36="Smelter not yet identified"),MATCH($B36&amp;$D36,'Smelter Look-up'!$J:$J,0),MATCH($B36&amp;$C36,'Smelter Look-up'!$J:$J,0)))</f>
        <v>63</v>
      </c>
      <c r="X36" s="227">
        <f t="shared" si="3"/>
        <v>0</v>
      </c>
      <c r="AB36" s="228" t="str">
        <f t="shared" si="4"/>
        <v>GoldDegussa Sonne / Mond Goldhandel GmbH</v>
      </c>
    </row>
    <row r="37" spans="1:28" s="227" customFormat="1" ht="27">
      <c r="A37" s="181"/>
      <c r="B37" s="182" t="s">
        <v>1098</v>
      </c>
      <c r="C37" s="186" t="s">
        <v>15895</v>
      </c>
      <c r="D37" s="230" t="s">
        <v>15895</v>
      </c>
      <c r="E37" s="182" t="s">
        <v>854</v>
      </c>
      <c r="F37" s="182" t="s">
        <v>2459</v>
      </c>
      <c r="G37" s="182" t="s">
        <v>13177</v>
      </c>
      <c r="H37" s="183" t="s">
        <v>15896</v>
      </c>
      <c r="I37" s="184" t="s">
        <v>12355</v>
      </c>
      <c r="J37" s="184" t="s">
        <v>9897</v>
      </c>
      <c r="K37" s="224"/>
      <c r="L37" s="224"/>
      <c r="M37" s="224"/>
      <c r="N37" s="224">
        <v>-2146826246</v>
      </c>
      <c r="O37" s="224" t="s">
        <v>15897</v>
      </c>
      <c r="P37" s="185"/>
      <c r="Q37" s="225"/>
      <c r="R37" s="182" t="str">
        <f ca="1">IF(ISERROR($V37),"",OFFSET('Smelter Look-up'!$C$4,$V37-4,0)&amp;"")</f>
        <v>Kyshtym Copper-Electrolytic Plant ZAO</v>
      </c>
      <c r="S37" s="181" t="str">
        <f t="shared" ca="1" si="2"/>
        <v>RU</v>
      </c>
      <c r="T37" s="181" t="str">
        <f ca="1">IF(B37="","",IF(ISERROR(MATCH($J37,SorP!$B$1:$B$6226,0)),"",INDIRECT("'SorP'!$A$"&amp;MATCH($S37&amp;$J37,SorP!C:C,0))))</f>
        <v>RU-CHE</v>
      </c>
      <c r="U37" s="201"/>
      <c r="V37" s="226">
        <f>IF(C37="",NA(),IF(OR(C37="Smelter not listed",C37="Smelter not yet identified"),MATCH($B37&amp;$D37,'Smelter Look-up'!$J:$J,0),MATCH($B37&amp;$C37,'Smelter Look-up'!$J:$J,0)))</f>
        <v>155</v>
      </c>
      <c r="X37" s="227">
        <f t="shared" si="3"/>
        <v>0</v>
      </c>
      <c r="AB37" s="228" t="str">
        <f t="shared" si="4"/>
        <v>GoldKYSHTYM COPPER-ELECTROLYTIC PLANT ZAO</v>
      </c>
    </row>
    <row r="38" spans="1:28" s="227" customFormat="1" ht="81">
      <c r="A38" s="181"/>
      <c r="B38" s="182" t="s">
        <v>1098</v>
      </c>
      <c r="C38" s="186" t="s">
        <v>2243</v>
      </c>
      <c r="D38" s="230" t="s">
        <v>2243</v>
      </c>
      <c r="E38" s="182" t="s">
        <v>1075</v>
      </c>
      <c r="F38" s="182" t="s">
        <v>2244</v>
      </c>
      <c r="G38" s="182" t="s">
        <v>13177</v>
      </c>
      <c r="H38" s="183" t="s">
        <v>15898</v>
      </c>
      <c r="I38" s="184" t="s">
        <v>2298</v>
      </c>
      <c r="J38" s="184" t="s">
        <v>15899</v>
      </c>
      <c r="K38" s="224"/>
      <c r="L38" s="224"/>
      <c r="M38" s="224"/>
      <c r="N38" s="224" t="s">
        <v>15876</v>
      </c>
      <c r="O38" s="224" t="s">
        <v>15900</v>
      </c>
      <c r="P38" s="185"/>
      <c r="Q38" s="225" t="s">
        <v>15840</v>
      </c>
      <c r="R38" s="182" t="str">
        <f ca="1">IF(ISERROR($V38),"",OFFSET('Smelter Look-up'!$C$4,$V38-4,0)&amp;"")</f>
        <v>Bangalore Refinery</v>
      </c>
      <c r="S38" s="181" t="str">
        <f t="shared" ref="S38:S68" ca="1" si="5">IF(B38="","",IF(ISERROR(MATCH($E38,CL,0)),"Unknown",INDIRECT("'C'!$A$"&amp;MATCH($E38,CL,0)+1)))</f>
        <v>IN</v>
      </c>
      <c r="T38" s="181" t="str">
        <f ca="1">IF(B38="","",IF(ISERROR(MATCH($J38,SorP!$B$1:$B$6226,0)),"",INDIRECT("'SorP'!$A$"&amp;MATCH($S38&amp;$J38,SorP!C:C,0))))</f>
        <v/>
      </c>
      <c r="U38" s="201"/>
      <c r="V38" s="226">
        <f>IF(C38="",NA(),IF(OR(C38="Smelter not listed",C38="Smelter not yet identified"),MATCH($B38&amp;$D38,'Smelter Look-up'!$J:$J,0),MATCH($B38&amp;$C38,'Smelter Look-up'!$J:$J,0)))</f>
        <v>41</v>
      </c>
      <c r="X38" s="227">
        <f t="shared" ref="X38:X68" si="6">IF(AND(C38="Smelter not listed",OR(LEN(D38)=0,LEN(E38)=0)),1,0)</f>
        <v>0</v>
      </c>
      <c r="AB38" s="228" t="str">
        <f t="shared" ref="AB38:AB68" si="7">B38&amp;C38</f>
        <v>GoldBangalore Refinery</v>
      </c>
    </row>
    <row r="39" spans="1:28" s="227" customFormat="1" ht="81">
      <c r="A39" s="181"/>
      <c r="B39" s="182" t="s">
        <v>1098</v>
      </c>
      <c r="C39" s="186" t="s">
        <v>2262</v>
      </c>
      <c r="D39" s="230" t="s">
        <v>2262</v>
      </c>
      <c r="E39" s="182" t="s">
        <v>1084</v>
      </c>
      <c r="F39" s="182" t="s">
        <v>2263</v>
      </c>
      <c r="G39" s="182" t="s">
        <v>13177</v>
      </c>
      <c r="H39" s="183" t="s">
        <v>15901</v>
      </c>
      <c r="I39" s="184" t="s">
        <v>2300</v>
      </c>
      <c r="J39" s="184" t="s">
        <v>15902</v>
      </c>
      <c r="K39" s="224"/>
      <c r="L39" s="224"/>
      <c r="M39" s="224"/>
      <c r="N39" s="224">
        <v>-2146826246</v>
      </c>
      <c r="O39" s="224" t="s">
        <v>15903</v>
      </c>
      <c r="P39" s="185"/>
      <c r="Q39" s="225"/>
      <c r="R39" s="182" t="str">
        <f ca="1">IF(ISERROR($V39),"",OFFSET('Smelter Look-up'!$C$4,$V39-4,0)&amp;"")</f>
        <v>Modeltech Sdn Bhd</v>
      </c>
      <c r="S39" s="181" t="str">
        <f t="shared" ca="1" si="5"/>
        <v>MY</v>
      </c>
      <c r="T39" s="181" t="str">
        <f ca="1">IF(B39="","",IF(ISERROR(MATCH($J39,SorP!$B$1:$B$6226,0)),"",INDIRECT("'SorP'!$A$"&amp;MATCH($S39&amp;$J39,SorP!C:C,0))))</f>
        <v/>
      </c>
      <c r="U39" s="201"/>
      <c r="V39" s="226">
        <f>IF(C39="",NA(),IF(OR(C39="Smelter not listed",C39="Smelter not yet identified"),MATCH($B39&amp;$D39,'Smelter Look-up'!$J:$J,0),MATCH($B39&amp;$C39,'Smelter Look-up'!$J:$J,0)))</f>
        <v>194</v>
      </c>
      <c r="X39" s="227">
        <f t="shared" si="6"/>
        <v>0</v>
      </c>
      <c r="AB39" s="228" t="str">
        <f t="shared" si="7"/>
        <v>GoldModeltech Sdn Bhd</v>
      </c>
    </row>
    <row r="40" spans="1:28" s="227" customFormat="1" ht="40.5">
      <c r="A40" s="181"/>
      <c r="B40" s="182" t="s">
        <v>1098</v>
      </c>
      <c r="C40" s="186" t="s">
        <v>2272</v>
      </c>
      <c r="D40" s="230" t="s">
        <v>2272</v>
      </c>
      <c r="E40" s="182" t="s">
        <v>1075</v>
      </c>
      <c r="F40" s="182" t="s">
        <v>2273</v>
      </c>
      <c r="G40" s="182" t="s">
        <v>13177</v>
      </c>
      <c r="H40" s="183" t="s">
        <v>15904</v>
      </c>
      <c r="I40" s="184" t="s">
        <v>2274</v>
      </c>
      <c r="J40" s="184" t="s">
        <v>15905</v>
      </c>
      <c r="K40" s="224"/>
      <c r="L40" s="224"/>
      <c r="M40" s="224"/>
      <c r="N40" s="224">
        <v>-2146826246</v>
      </c>
      <c r="O40" s="224" t="s">
        <v>15906</v>
      </c>
      <c r="P40" s="185"/>
      <c r="Q40" s="225"/>
      <c r="R40" s="182" t="str">
        <f ca="1">IF(ISERROR($V40),"",OFFSET('Smelter Look-up'!$C$4,$V40-4,0)&amp;"")</f>
        <v>Sai Refinery</v>
      </c>
      <c r="S40" s="181" t="str">
        <f t="shared" ca="1" si="5"/>
        <v>IN</v>
      </c>
      <c r="T40" s="181" t="str">
        <f ca="1">IF(B40="","",IF(ISERROR(MATCH($J40,SorP!$B$1:$B$6226,0)),"",INDIRECT("'SorP'!$A$"&amp;MATCH($S40&amp;$J40,SorP!C:C,0))))</f>
        <v/>
      </c>
      <c r="U40" s="201"/>
      <c r="V40" s="226">
        <f>IF(C40="",NA(),IF(OR(C40="Smelter not listed",C40="Smelter not yet identified"),MATCH($B40&amp;$D40,'Smelter Look-up'!$J:$J,0),MATCH($B40&amp;$C40,'Smelter Look-up'!$J:$J,0)))</f>
        <v>235</v>
      </c>
      <c r="X40" s="227">
        <f t="shared" si="6"/>
        <v>0</v>
      </c>
      <c r="AB40" s="228" t="str">
        <f t="shared" si="7"/>
        <v>GoldSai Refinery</v>
      </c>
    </row>
    <row r="41" spans="1:28" s="227" customFormat="1" ht="216">
      <c r="A41" s="181"/>
      <c r="B41" s="182" t="s">
        <v>1098</v>
      </c>
      <c r="C41" s="186" t="s">
        <v>15285</v>
      </c>
      <c r="D41" s="230" t="s">
        <v>15285</v>
      </c>
      <c r="E41" s="182" t="s">
        <v>1075</v>
      </c>
      <c r="F41" s="182" t="s">
        <v>2248</v>
      </c>
      <c r="G41" s="182" t="s">
        <v>13177</v>
      </c>
      <c r="H41" s="183" t="s">
        <v>15907</v>
      </c>
      <c r="I41" s="184" t="s">
        <v>2249</v>
      </c>
      <c r="J41" s="184" t="s">
        <v>15869</v>
      </c>
      <c r="K41" s="224"/>
      <c r="L41" s="224"/>
      <c r="M41" s="224"/>
      <c r="N41" s="224">
        <v>-2146826246</v>
      </c>
      <c r="O41" s="224" t="s">
        <v>15908</v>
      </c>
      <c r="P41" s="185"/>
      <c r="Q41" s="225"/>
      <c r="R41" s="182" t="str">
        <f ca="1">IF(ISERROR($V41),"",OFFSET('Smelter Look-up'!$C$4,$V41-4,0)&amp;"")</f>
        <v>GGC Gujrat Gold Centre Pvt. Ltd.</v>
      </c>
      <c r="S41" s="181" t="str">
        <f t="shared" ca="1" si="5"/>
        <v>IN</v>
      </c>
      <c r="T41" s="181" t="str">
        <f ca="1">IF(B41="","",IF(ISERROR(MATCH($J41,SorP!$B$1:$B$6226,0)),"",INDIRECT("'SorP'!$A$"&amp;MATCH($S41&amp;$J41,SorP!C:C,0))))</f>
        <v/>
      </c>
      <c r="U41" s="201"/>
      <c r="V41" s="226">
        <f>IF(C41="",NA(),IF(OR(C41="Smelter not listed",C41="Smelter not yet identified"),MATCH($B41&amp;$D41,'Smelter Look-up'!$J:$J,0),MATCH($B41&amp;$C41,'Smelter Look-up'!$J:$J,0)))</f>
        <v>91</v>
      </c>
      <c r="X41" s="227">
        <f t="shared" si="6"/>
        <v>0</v>
      </c>
      <c r="AB41" s="228" t="str">
        <f t="shared" si="7"/>
        <v>GoldGGC Gujrat Gold Centre Pvt. Ltd.</v>
      </c>
    </row>
    <row r="42" spans="1:28" s="227" customFormat="1" ht="40.5">
      <c r="A42" s="181"/>
      <c r="B42" s="182" t="s">
        <v>1098</v>
      </c>
      <c r="C42" s="186" t="s">
        <v>2239</v>
      </c>
      <c r="D42" s="230" t="s">
        <v>2239</v>
      </c>
      <c r="E42" s="182" t="s">
        <v>864</v>
      </c>
      <c r="F42" s="182" t="s">
        <v>2240</v>
      </c>
      <c r="G42" s="182" t="s">
        <v>13177</v>
      </c>
      <c r="H42" s="183" t="s">
        <v>15909</v>
      </c>
      <c r="I42" s="184" t="s">
        <v>2241</v>
      </c>
      <c r="J42" s="184" t="s">
        <v>1610</v>
      </c>
      <c r="K42" s="224"/>
      <c r="L42" s="224"/>
      <c r="M42" s="224"/>
      <c r="N42" s="224">
        <v>-2146826246</v>
      </c>
      <c r="O42" s="224" t="s">
        <v>15910</v>
      </c>
      <c r="P42" s="185"/>
      <c r="Q42" s="225"/>
      <c r="R42" s="182" t="str">
        <f ca="1">IF(ISERROR($V42),"",OFFSET('Smelter Look-up'!$C$4,$V42-4,0)&amp;"")</f>
        <v>AU Traders and Refiners</v>
      </c>
      <c r="S42" s="181" t="str">
        <f t="shared" ca="1" si="5"/>
        <v>ZA</v>
      </c>
      <c r="T42" s="181" t="str">
        <f ca="1">IF(B42="","",IF(ISERROR(MATCH($J42,SorP!$B$1:$B$6226,0)),"",INDIRECT("'SorP'!$A$"&amp;MATCH($S42&amp;$J42,SorP!C:C,0))))</f>
        <v>ZA-GP</v>
      </c>
      <c r="U42" s="201"/>
      <c r="V42" s="226">
        <f>IF(C42="",NA(),IF(OR(C42="Smelter not listed",C42="Smelter not yet identified"),MATCH($B42&amp;$D42,'Smelter Look-up'!$J:$J,0),MATCH($B42&amp;$C42,'Smelter Look-up'!$J:$J,0)))</f>
        <v>37</v>
      </c>
      <c r="X42" s="227">
        <f t="shared" si="6"/>
        <v>0</v>
      </c>
      <c r="AB42" s="228" t="str">
        <f t="shared" si="7"/>
        <v>GoldAU Traders and Refiners</v>
      </c>
    </row>
    <row r="43" spans="1:28" s="227" customFormat="1" ht="81">
      <c r="A43" s="181"/>
      <c r="B43" s="182" t="s">
        <v>1098</v>
      </c>
      <c r="C43" s="186" t="s">
        <v>12382</v>
      </c>
      <c r="D43" s="230" t="s">
        <v>12382</v>
      </c>
      <c r="E43" s="182" t="s">
        <v>1063</v>
      </c>
      <c r="F43" s="182" t="s">
        <v>2158</v>
      </c>
      <c r="G43" s="182" t="s">
        <v>13177</v>
      </c>
      <c r="H43" s="183" t="s">
        <v>15911</v>
      </c>
      <c r="I43" s="184" t="s">
        <v>2159</v>
      </c>
      <c r="J43" s="184" t="s">
        <v>2755</v>
      </c>
      <c r="K43" s="224"/>
      <c r="L43" s="224"/>
      <c r="M43" s="224"/>
      <c r="N43" s="224" t="s">
        <v>15912</v>
      </c>
      <c r="O43" s="224" t="s">
        <v>15913</v>
      </c>
      <c r="P43" s="185"/>
      <c r="Q43" s="225" t="s">
        <v>15840</v>
      </c>
      <c r="R43" s="182" t="str">
        <f ca="1">IF(ISERROR($V43),"",OFFSET('Smelter Look-up'!$C$4,$V43-4,0)&amp;"")</f>
        <v>Ogussa Osterreichische Gold- und Silber-Scheideanstalt GmbH</v>
      </c>
      <c r="S43" s="181" t="str">
        <f t="shared" ca="1" si="5"/>
        <v>AT</v>
      </c>
      <c r="T43" s="181" t="str">
        <f ca="1">IF(B43="","",IF(ISERROR(MATCH($J43,SorP!$B$1:$B$6226,0)),"",INDIRECT("'SorP'!$A$"&amp;MATCH($S43&amp;$J43,SorP!C:C,0))))</f>
        <v>AT-9</v>
      </c>
      <c r="U43" s="201"/>
      <c r="V43" s="226">
        <f>IF(C43="",NA(),IF(OR(C43="Smelter not listed",C43="Smelter not yet identified"),MATCH($B43&amp;$D43,'Smelter Look-up'!$J:$J,0),MATCH($B43&amp;$C43,'Smelter Look-up'!$J:$J,0)))</f>
        <v>205</v>
      </c>
      <c r="X43" s="227">
        <f t="shared" si="6"/>
        <v>0</v>
      </c>
      <c r="AB43" s="228" t="str">
        <f t="shared" si="7"/>
        <v>GoldOgussa Osterreichische Gold- und Silber-Scheideanstalt GmbH</v>
      </c>
    </row>
    <row r="44" spans="1:28" s="227" customFormat="1" ht="40.5">
      <c r="A44" s="181"/>
      <c r="B44" s="182" t="s">
        <v>1098</v>
      </c>
      <c r="C44" s="186" t="s">
        <v>2155</v>
      </c>
      <c r="D44" s="230" t="s">
        <v>2155</v>
      </c>
      <c r="E44" s="182" t="s">
        <v>1070</v>
      </c>
      <c r="F44" s="182" t="s">
        <v>2157</v>
      </c>
      <c r="G44" s="182" t="s">
        <v>13177</v>
      </c>
      <c r="H44" s="183" t="s">
        <v>15914</v>
      </c>
      <c r="I44" s="184" t="s">
        <v>1510</v>
      </c>
      <c r="J44" s="184" t="s">
        <v>1511</v>
      </c>
      <c r="K44" s="224"/>
      <c r="L44" s="224"/>
      <c r="M44" s="224"/>
      <c r="N44" s="224" t="s">
        <v>15912</v>
      </c>
      <c r="O44" s="224" t="s">
        <v>15915</v>
      </c>
      <c r="P44" s="185"/>
      <c r="Q44" s="225" t="s">
        <v>15840</v>
      </c>
      <c r="R44" s="182" t="str">
        <f ca="1">IF(ISERROR($V44),"",OFFSET('Smelter Look-up'!$C$4,$V44-4,0)&amp;"")</f>
        <v>WIELAND Edelmetalle GmbH</v>
      </c>
      <c r="S44" s="181" t="str">
        <f t="shared" ca="1" si="5"/>
        <v>DE</v>
      </c>
      <c r="T44" s="181" t="str">
        <f ca="1">IF(B44="","",IF(ISERROR(MATCH($J44,SorP!$B$1:$B$6226,0)),"",INDIRECT("'SorP'!$A$"&amp;MATCH($S44&amp;$J44,SorP!C:C,0))))</f>
        <v>DE-BW</v>
      </c>
      <c r="U44" s="201"/>
      <c r="V44" s="226">
        <f>IF(C44="",NA(),IF(OR(C44="Smelter not listed",C44="Smelter not yet identified"),MATCH($B44&amp;$D44,'Smelter Look-up'!$J:$J,0),MATCH($B44&amp;$C44,'Smelter Look-up'!$J:$J,0)))</f>
        <v>307</v>
      </c>
      <c r="X44" s="227">
        <f t="shared" si="6"/>
        <v>0</v>
      </c>
      <c r="AB44" s="228" t="str">
        <f t="shared" si="7"/>
        <v>GoldWIELAND Edelmetalle GmbH</v>
      </c>
    </row>
    <row r="45" spans="1:28" s="227" customFormat="1" ht="121.5">
      <c r="A45" s="181"/>
      <c r="B45" s="182" t="s">
        <v>1098</v>
      </c>
      <c r="C45" s="186" t="s">
        <v>2454</v>
      </c>
      <c r="D45" s="230" t="s">
        <v>2454</v>
      </c>
      <c r="E45" s="182" t="s">
        <v>1076</v>
      </c>
      <c r="F45" s="182" t="s">
        <v>2455</v>
      </c>
      <c r="G45" s="182" t="s">
        <v>13177</v>
      </c>
      <c r="H45" s="183" t="s">
        <v>15883</v>
      </c>
      <c r="I45" s="184" t="s">
        <v>1536</v>
      </c>
      <c r="J45" s="184" t="s">
        <v>6417</v>
      </c>
      <c r="K45" s="224"/>
      <c r="L45" s="224"/>
      <c r="M45" s="224"/>
      <c r="N45" s="224" t="s">
        <v>15916</v>
      </c>
      <c r="O45" s="224" t="s">
        <v>15917</v>
      </c>
      <c r="P45" s="185"/>
      <c r="Q45" s="225" t="s">
        <v>15840</v>
      </c>
      <c r="R45" s="182" t="str">
        <f ca="1">IF(ISERROR($V45),"",OFFSET('Smelter Look-up'!$C$4,$V45-4,0)&amp;"")</f>
        <v>Italpreziosi</v>
      </c>
      <c r="S45" s="181" t="str">
        <f t="shared" ca="1" si="5"/>
        <v>IT</v>
      </c>
      <c r="T45" s="181" t="str">
        <f ca="1">IF(B45="","",IF(ISERROR(MATCH($J45,SorP!$B$1:$B$6226,0)),"",INDIRECT("'SorP'!$A$"&amp;MATCH($S45&amp;$J45,SorP!C:C,0))))</f>
        <v>IT-52</v>
      </c>
      <c r="U45" s="201"/>
      <c r="V45" s="226">
        <f>IF(C45="",NA(),IF(OR(C45="Smelter not listed",C45="Smelter not yet identified"),MATCH($B45&amp;$D45,'Smelter Look-up'!$J:$J,0),MATCH($B45&amp;$C45,'Smelter Look-up'!$J:$J,0)))</f>
        <v>125</v>
      </c>
      <c r="X45" s="227">
        <f t="shared" si="6"/>
        <v>0</v>
      </c>
      <c r="AB45" s="228" t="str">
        <f t="shared" si="7"/>
        <v>GoldItalpreziosi</v>
      </c>
    </row>
    <row r="46" spans="1:28" s="227" customFormat="1" ht="20">
      <c r="A46" s="181"/>
      <c r="B46" s="182" t="s">
        <v>1098</v>
      </c>
      <c r="C46" s="186" t="s">
        <v>13693</v>
      </c>
      <c r="D46" s="230" t="s">
        <v>13693</v>
      </c>
      <c r="E46" s="182" t="s">
        <v>1076</v>
      </c>
      <c r="F46" s="182" t="s">
        <v>13694</v>
      </c>
      <c r="G46" s="182" t="s">
        <v>13177</v>
      </c>
      <c r="H46" s="183" t="s">
        <v>15918</v>
      </c>
      <c r="I46" s="184" t="s">
        <v>13733</v>
      </c>
      <c r="J46" s="184" t="s">
        <v>6370</v>
      </c>
      <c r="K46" s="224"/>
      <c r="L46" s="224"/>
      <c r="M46" s="224"/>
      <c r="N46" s="224" t="s">
        <v>15912</v>
      </c>
      <c r="O46" s="224" t="s">
        <v>15919</v>
      </c>
      <c r="P46" s="185"/>
      <c r="Q46" s="225" t="s">
        <v>15840</v>
      </c>
      <c r="R46" s="182" t="str">
        <f ca="1">IF(ISERROR($V46),"",OFFSET('Smelter Look-up'!$C$4,$V46-4,0)&amp;"")</f>
        <v>8853 S.p.A.</v>
      </c>
      <c r="S46" s="181" t="str">
        <f t="shared" ca="1" si="5"/>
        <v>IT</v>
      </c>
      <c r="T46" s="181" t="str">
        <f ca="1">IF(B46="","",IF(ISERROR(MATCH($J46,SorP!$B$1:$B$6226,0)),"",INDIRECT("'SorP'!$A$"&amp;MATCH($S46&amp;$J46,SorP!C:C,0))))</f>
        <v>IT-25</v>
      </c>
      <c r="U46" s="201"/>
      <c r="V46" s="226">
        <f>IF(C46="",NA(),IF(OR(C46="Smelter not listed",C46="Smelter not yet identified"),MATCH($B46&amp;$D46,'Smelter Look-up'!$J:$J,0),MATCH($B46&amp;$C46,'Smelter Look-up'!$J:$J,0)))</f>
        <v>5</v>
      </c>
      <c r="X46" s="227">
        <f t="shared" si="6"/>
        <v>0</v>
      </c>
      <c r="AB46" s="228" t="str">
        <f t="shared" si="7"/>
        <v>Gold8853 S.p.A.</v>
      </c>
    </row>
    <row r="47" spans="1:28" s="227" customFormat="1" ht="229.5">
      <c r="A47" s="181"/>
      <c r="B47" s="182" t="s">
        <v>1098</v>
      </c>
      <c r="C47" s="186" t="s">
        <v>2391</v>
      </c>
      <c r="D47" s="230" t="s">
        <v>2391</v>
      </c>
      <c r="E47" s="182" t="s">
        <v>1060</v>
      </c>
      <c r="F47" s="182" t="s">
        <v>2392</v>
      </c>
      <c r="G47" s="182" t="s">
        <v>13177</v>
      </c>
      <c r="H47" s="183" t="s">
        <v>15920</v>
      </c>
      <c r="I47" s="184" t="s">
        <v>2402</v>
      </c>
      <c r="J47" s="184" t="s">
        <v>2402</v>
      </c>
      <c r="K47" s="224"/>
      <c r="L47" s="224"/>
      <c r="M47" s="224"/>
      <c r="N47" s="224" t="s">
        <v>15921</v>
      </c>
      <c r="O47" s="224" t="s">
        <v>15922</v>
      </c>
      <c r="P47" s="185"/>
      <c r="Q47" s="225" t="s">
        <v>15840</v>
      </c>
      <c r="R47" s="182" t="str">
        <f ca="1">IF(ISERROR($V47),"",OFFSET('Smelter Look-up'!$C$4,$V47-4,0)&amp;"")</f>
        <v>L'Orfebre S.A.</v>
      </c>
      <c r="S47" s="181" t="str">
        <f t="shared" ca="1" si="5"/>
        <v>AD</v>
      </c>
      <c r="T47" s="181" t="str">
        <f ca="1">IF(B47="","",IF(ISERROR(MATCH($J47,SorP!$B$1:$B$6226,0)),"",INDIRECT("'SorP'!$A$"&amp;MATCH($S47&amp;$J47,SorP!C:C,0))))</f>
        <v>AD-07</v>
      </c>
      <c r="U47" s="201"/>
      <c r="V47" s="226">
        <f>IF(C47="",NA(),IF(OR(C47="Smelter not listed",C47="Smelter not yet identified"),MATCH($B47&amp;$D47,'Smelter Look-up'!$J:$J,0),MATCH($B47&amp;$C47,'Smelter Look-up'!$J:$J,0)))</f>
        <v>162</v>
      </c>
      <c r="X47" s="227">
        <f t="shared" si="6"/>
        <v>0</v>
      </c>
      <c r="AB47" s="228" t="str">
        <f t="shared" si="7"/>
        <v>GoldL'Orfebre S.A.</v>
      </c>
    </row>
    <row r="48" spans="1:28" s="227" customFormat="1" ht="54">
      <c r="A48" s="181"/>
      <c r="B48" s="182" t="s">
        <v>1098</v>
      </c>
      <c r="C48" s="186" t="s">
        <v>2210</v>
      </c>
      <c r="D48" s="230" t="s">
        <v>2210</v>
      </c>
      <c r="E48" s="182" t="s">
        <v>1073</v>
      </c>
      <c r="F48" s="182" t="s">
        <v>2211</v>
      </c>
      <c r="G48" s="182" t="s">
        <v>13177</v>
      </c>
      <c r="H48" s="183" t="s">
        <v>15923</v>
      </c>
      <c r="I48" s="184" t="s">
        <v>2212</v>
      </c>
      <c r="J48" s="184" t="s">
        <v>4834</v>
      </c>
      <c r="K48" s="224"/>
      <c r="L48" s="224"/>
      <c r="M48" s="224"/>
      <c r="N48" s="224" t="s">
        <v>15884</v>
      </c>
      <c r="O48" s="224" t="s">
        <v>15924</v>
      </c>
      <c r="P48" s="185"/>
      <c r="Q48" s="225" t="s">
        <v>15840</v>
      </c>
      <c r="R48" s="182" t="str">
        <f ca="1">IF(ISERROR($V48),"",OFFSET('Smelter Look-up'!$C$4,$V48-4,0)&amp;"")</f>
        <v>SAAMP</v>
      </c>
      <c r="S48" s="181" t="str">
        <f t="shared" ca="1" si="5"/>
        <v>FR</v>
      </c>
      <c r="T48" s="181" t="str">
        <f ca="1">IF(B48="","",IF(ISERROR(MATCH($J48,SorP!$B$1:$B$6226,0)),"",INDIRECT("'SorP'!$A$"&amp;MATCH($S48&amp;$J48,SorP!C:C,0))))</f>
        <v>FR-IDF</v>
      </c>
      <c r="U48" s="201"/>
      <c r="V48" s="226">
        <f>IF(C48="",NA(),IF(OR(C48="Smelter not listed",C48="Smelter not yet identified"),MATCH($B48&amp;$D48,'Smelter Look-up'!$J:$J,0),MATCH($B48&amp;$C48,'Smelter Look-up'!$J:$J,0)))</f>
        <v>230</v>
      </c>
      <c r="X48" s="227">
        <f t="shared" si="6"/>
        <v>0</v>
      </c>
      <c r="AB48" s="228" t="str">
        <f t="shared" si="7"/>
        <v>GoldSAAMP</v>
      </c>
    </row>
    <row r="49" spans="1:28" s="227" customFormat="1" ht="40.5">
      <c r="A49" s="181"/>
      <c r="B49" s="182" t="s">
        <v>1098</v>
      </c>
      <c r="C49" s="186" t="s">
        <v>2385</v>
      </c>
      <c r="D49" s="230" t="s">
        <v>2385</v>
      </c>
      <c r="E49" s="182" t="s">
        <v>2384</v>
      </c>
      <c r="F49" s="182" t="s">
        <v>2386</v>
      </c>
      <c r="G49" s="182" t="s">
        <v>13177</v>
      </c>
      <c r="H49" s="183" t="s">
        <v>15925</v>
      </c>
      <c r="I49" s="184" t="s">
        <v>2387</v>
      </c>
      <c r="J49" s="184" t="s">
        <v>1699</v>
      </c>
      <c r="K49" s="224"/>
      <c r="L49" s="224"/>
      <c r="M49" s="224"/>
      <c r="N49" s="224">
        <v>-2146826246</v>
      </c>
      <c r="O49" s="224" t="s">
        <v>15926</v>
      </c>
      <c r="P49" s="185"/>
      <c r="Q49" s="225"/>
      <c r="R49" s="182" t="str">
        <f ca="1">IF(ISERROR($V49),"",OFFSET('Smelter Look-up'!$C$4,$V49-4,0)&amp;"")</f>
        <v>Abington Reldan Metals, LLC</v>
      </c>
      <c r="S49" s="181" t="str">
        <f t="shared" ca="1" si="5"/>
        <v>US</v>
      </c>
      <c r="T49" s="181" t="str">
        <f ca="1">IF(B49="","",IF(ISERROR(MATCH($J49,SorP!$B$1:$B$6226,0)),"",INDIRECT("'SorP'!$A$"&amp;MATCH($S49&amp;$J49,SorP!C:C,0))))</f>
        <v>US-PA</v>
      </c>
      <c r="U49" s="201"/>
      <c r="V49" s="226">
        <f>IF(C49="",NA(),IF(OR(C49="Smelter not listed",C49="Smelter not yet identified"),MATCH($B49&amp;$D49,'Smelter Look-up'!$J:$J,0),MATCH($B49&amp;$C49,'Smelter Look-up'!$J:$J,0)))</f>
        <v>7</v>
      </c>
      <c r="X49" s="227">
        <f t="shared" si="6"/>
        <v>0</v>
      </c>
      <c r="AB49" s="228" t="str">
        <f t="shared" si="7"/>
        <v>GoldAbington Reldan Metals, LLC</v>
      </c>
    </row>
    <row r="50" spans="1:28" s="227" customFormat="1" ht="27">
      <c r="A50" s="181"/>
      <c r="B50" s="182" t="s">
        <v>1098</v>
      </c>
      <c r="C50" s="186" t="s">
        <v>2279</v>
      </c>
      <c r="D50" s="230" t="s">
        <v>2279</v>
      </c>
      <c r="E50" s="182" t="s">
        <v>1078</v>
      </c>
      <c r="F50" s="182" t="s">
        <v>2280</v>
      </c>
      <c r="G50" s="182" t="s">
        <v>13177</v>
      </c>
      <c r="H50" s="183" t="s">
        <v>15927</v>
      </c>
      <c r="I50" s="184" t="s">
        <v>2281</v>
      </c>
      <c r="J50" s="184" t="s">
        <v>2282</v>
      </c>
      <c r="K50" s="224"/>
      <c r="L50" s="224"/>
      <c r="M50" s="224"/>
      <c r="N50" s="224" t="s">
        <v>15928</v>
      </c>
      <c r="O50" s="224" t="s">
        <v>15929</v>
      </c>
      <c r="P50" s="185"/>
      <c r="Q50" s="225" t="s">
        <v>15840</v>
      </c>
      <c r="R50" s="182" t="str">
        <f ca="1">IF(ISERROR($V50),"",OFFSET('Smelter Look-up'!$C$4,$V50-4,0)&amp;"")</f>
        <v>TOO Tau-Ken-Altyn</v>
      </c>
      <c r="S50" s="181" t="str">
        <f t="shared" ca="1" si="5"/>
        <v>KZ</v>
      </c>
      <c r="T50" s="181" t="str">
        <f ca="1">IF(B50="","",IF(ISERROR(MATCH($J50,SorP!$B$1:$B$6226,0)),"",INDIRECT("'SorP'!$A$"&amp;MATCH($S50&amp;$J50,SorP!C:C,0))))</f>
        <v>KZ-ALA</v>
      </c>
      <c r="U50" s="201"/>
      <c r="V50" s="226">
        <f>IF(C50="",NA(),IF(OR(C50="Smelter not listed",C50="Smelter not yet identified"),MATCH($B50&amp;$D50,'Smelter Look-up'!$J:$J,0),MATCH($B50&amp;$C50,'Smelter Look-up'!$J:$J,0)))</f>
        <v>297</v>
      </c>
      <c r="X50" s="227">
        <f t="shared" si="6"/>
        <v>0</v>
      </c>
      <c r="AB50" s="228" t="str">
        <f t="shared" si="7"/>
        <v>GoldTOO Tau-Ken-Altyn</v>
      </c>
    </row>
    <row r="51" spans="1:28" s="227" customFormat="1" ht="243">
      <c r="A51" s="181"/>
      <c r="B51" s="182" t="s">
        <v>1098</v>
      </c>
      <c r="C51" s="186" t="s">
        <v>2460</v>
      </c>
      <c r="D51" s="230" t="s">
        <v>2460</v>
      </c>
      <c r="E51" s="182" t="s">
        <v>1065</v>
      </c>
      <c r="F51" s="182" t="s">
        <v>2461</v>
      </c>
      <c r="G51" s="182" t="s">
        <v>13177</v>
      </c>
      <c r="H51" s="183" t="s">
        <v>15930</v>
      </c>
      <c r="I51" s="184" t="s">
        <v>2462</v>
      </c>
      <c r="J51" s="184" t="s">
        <v>1640</v>
      </c>
      <c r="K51" s="224"/>
      <c r="L51" s="224"/>
      <c r="M51" s="224"/>
      <c r="N51" s="224" t="s">
        <v>15876</v>
      </c>
      <c r="O51" s="224" t="s">
        <v>15931</v>
      </c>
      <c r="P51" s="185"/>
      <c r="Q51" s="225"/>
      <c r="R51" s="182" t="str">
        <f ca="1">IF(ISERROR($V51),"",OFFSET('Smelter Look-up'!$C$4,$V51-4,0)&amp;"")</f>
        <v>Marsam Metals</v>
      </c>
      <c r="S51" s="181" t="str">
        <f t="shared" ca="1" si="5"/>
        <v>BR</v>
      </c>
      <c r="T51" s="181" t="str">
        <f ca="1">IF(B51="","",IF(ISERROR(MATCH($J51,SorP!$B$1:$B$6226,0)),"",INDIRECT("'SorP'!$A$"&amp;MATCH($S51&amp;$J51,SorP!C:C,0))))</f>
        <v>BR-SP</v>
      </c>
      <c r="U51" s="201"/>
      <c r="V51" s="226">
        <f>IF(C51="",NA(),IF(OR(C51="Smelter not listed",C51="Smelter not yet identified"),MATCH($B51&amp;$D51,'Smelter Look-up'!$J:$J,0),MATCH($B51&amp;$C51,'Smelter Look-up'!$J:$J,0)))</f>
        <v>168</v>
      </c>
      <c r="X51" s="227">
        <f t="shared" si="6"/>
        <v>0</v>
      </c>
      <c r="AB51" s="228" t="str">
        <f t="shared" si="7"/>
        <v>GoldMarsam Metals</v>
      </c>
    </row>
    <row r="52" spans="1:28" s="227" customFormat="1" ht="27">
      <c r="A52" s="181"/>
      <c r="B52" s="182" t="s">
        <v>1098</v>
      </c>
      <c r="C52" s="186" t="s">
        <v>2254</v>
      </c>
      <c r="D52" s="230" t="s">
        <v>2254</v>
      </c>
      <c r="E52" s="182" t="s">
        <v>1080</v>
      </c>
      <c r="F52" s="182" t="s">
        <v>1678</v>
      </c>
      <c r="G52" s="182" t="s">
        <v>13177</v>
      </c>
      <c r="H52" s="183" t="s">
        <v>15932</v>
      </c>
      <c r="I52" s="184" t="s">
        <v>15933</v>
      </c>
      <c r="J52" s="184" t="s">
        <v>12824</v>
      </c>
      <c r="K52" s="224"/>
      <c r="L52" s="224"/>
      <c r="M52" s="224"/>
      <c r="N52" s="224" t="s">
        <v>15876</v>
      </c>
      <c r="O52" s="224" t="s">
        <v>15934</v>
      </c>
      <c r="P52" s="185"/>
      <c r="Q52" s="225" t="s">
        <v>15840</v>
      </c>
      <c r="R52" s="182" t="str">
        <f ca="1">IF(ISERROR($V52),"",OFFSET('Smelter Look-up'!$C$4,$V52-4,0)&amp;"")</f>
        <v>Korea Zinc Co., Ltd.</v>
      </c>
      <c r="S52" s="181" t="str">
        <f t="shared" ca="1" si="5"/>
        <v>KR</v>
      </c>
      <c r="T52" s="181" t="str">
        <f ca="1">IF(B52="","",IF(ISERROR(MATCH($J52,SorP!$B$1:$B$6226,0)),"",INDIRECT("'SorP'!$A$"&amp;MATCH($S52&amp;$J52,SorP!C:C,0))))</f>
        <v>KR-11</v>
      </c>
      <c r="U52" s="201"/>
      <c r="V52" s="226">
        <f>IF(C52="",NA(),IF(OR(C52="Smelter not listed",C52="Smelter not yet identified"),MATCH($B52&amp;$D52,'Smelter Look-up'!$J:$J,0),MATCH($B52&amp;$C52,'Smelter Look-up'!$J:$J,0)))</f>
        <v>150</v>
      </c>
      <c r="X52" s="227">
        <f t="shared" si="6"/>
        <v>0</v>
      </c>
      <c r="AB52" s="228" t="str">
        <f t="shared" si="7"/>
        <v>GoldKorea Zinc Co., Ltd.</v>
      </c>
    </row>
    <row r="53" spans="1:28" s="227" customFormat="1" ht="27">
      <c r="A53" s="181"/>
      <c r="B53" s="182" t="s">
        <v>1098</v>
      </c>
      <c r="C53" s="186" t="s">
        <v>13758</v>
      </c>
      <c r="D53" s="230" t="s">
        <v>13758</v>
      </c>
      <c r="E53" s="182" t="s">
        <v>1075</v>
      </c>
      <c r="F53" s="182" t="s">
        <v>13773</v>
      </c>
      <c r="G53" s="182" t="s">
        <v>13177</v>
      </c>
      <c r="H53" s="183" t="s">
        <v>15935</v>
      </c>
      <c r="I53" s="184" t="s">
        <v>13781</v>
      </c>
      <c r="J53" s="184" t="s">
        <v>15936</v>
      </c>
      <c r="K53" s="224"/>
      <c r="L53" s="224"/>
      <c r="M53" s="224"/>
      <c r="N53" s="224">
        <v>-2146826246</v>
      </c>
      <c r="O53" s="224" t="s">
        <v>15835</v>
      </c>
      <c r="P53" s="185"/>
      <c r="Q53" s="225"/>
      <c r="R53" s="182" t="str">
        <f ca="1">IF(ISERROR($V53),"",OFFSET('Smelter Look-up'!$C$4,$V53-4,0)&amp;"")</f>
        <v>Shirpur Gold Refinery Ltd.</v>
      </c>
      <c r="S53" s="181" t="str">
        <f t="shared" ca="1" si="5"/>
        <v>IN</v>
      </c>
      <c r="T53" s="181" t="str">
        <f ca="1">IF(B53="","",IF(ISERROR(MATCH($J53,SorP!$B$1:$B$6226,0)),"",INDIRECT("'SorP'!$A$"&amp;MATCH($S53&amp;$J53,SorP!C:C,0))))</f>
        <v/>
      </c>
      <c r="U53" s="201"/>
      <c r="V53" s="226">
        <f>IF(C53="",NA(),IF(OR(C53="Smelter not listed",C53="Smelter not yet identified"),MATCH($B53&amp;$D53,'Smelter Look-up'!$J:$J,0),MATCH($B53&amp;$C53,'Smelter Look-up'!$J:$J,0)))</f>
        <v>259</v>
      </c>
      <c r="X53" s="227">
        <f t="shared" si="6"/>
        <v>0</v>
      </c>
      <c r="AB53" s="228" t="str">
        <f t="shared" si="7"/>
        <v>GoldShirpur Gold Refinery Ltd.</v>
      </c>
    </row>
    <row r="54" spans="1:28" s="227" customFormat="1" ht="27">
      <c r="A54" s="181"/>
      <c r="B54" s="182" t="s">
        <v>1098</v>
      </c>
      <c r="C54" s="186" t="s">
        <v>14929</v>
      </c>
      <c r="D54" s="230" t="s">
        <v>14929</v>
      </c>
      <c r="E54" s="182" t="s">
        <v>1064</v>
      </c>
      <c r="F54" s="182" t="s">
        <v>2214</v>
      </c>
      <c r="G54" s="182" t="s">
        <v>13177</v>
      </c>
      <c r="H54" s="183" t="s">
        <v>15834</v>
      </c>
      <c r="I54" s="184" t="s">
        <v>1642</v>
      </c>
      <c r="J54" s="184" t="s">
        <v>3104</v>
      </c>
      <c r="K54" s="224"/>
      <c r="L54" s="224"/>
      <c r="M54" s="224"/>
      <c r="N54" s="224">
        <v>-2146826246</v>
      </c>
      <c r="O54" s="224" t="s">
        <v>15937</v>
      </c>
      <c r="P54" s="185"/>
      <c r="Q54" s="225"/>
      <c r="R54" s="182" t="str">
        <f ca="1">IF(ISERROR($V54),"",OFFSET('Smelter Look-up'!$C$4,$V54-4,0)&amp;"")</f>
        <v>Industrial Refining Company</v>
      </c>
      <c r="S54" s="181" t="str">
        <f t="shared" ca="1" si="5"/>
        <v>BE</v>
      </c>
      <c r="T54" s="181" t="str">
        <f ca="1">IF(B54="","",IF(ISERROR(MATCH($J54,SorP!$B$1:$B$6226,0)),"",INDIRECT("'SorP'!$A$"&amp;MATCH($S54&amp;$J54,SorP!C:C,0))))</f>
        <v>BE-VAN</v>
      </c>
      <c r="U54" s="201"/>
      <c r="V54" s="226">
        <f>IF(C54="",NA(),IF(OR(C54="Smelter not listed",C54="Smelter not yet identified"),MATCH($B54&amp;$D54,'Smelter Look-up'!$J:$J,0),MATCH($B54&amp;$C54,'Smelter Look-up'!$J:$J,0)))</f>
        <v>120</v>
      </c>
      <c r="X54" s="227">
        <f t="shared" si="6"/>
        <v>0</v>
      </c>
      <c r="AB54" s="228" t="str">
        <f t="shared" si="7"/>
        <v>GoldIndustrial Refining Company</v>
      </c>
    </row>
    <row r="55" spans="1:28" s="227" customFormat="1" ht="27">
      <c r="A55" s="181"/>
      <c r="B55" s="182" t="s">
        <v>1098</v>
      </c>
      <c r="C55" s="186" t="s">
        <v>13700</v>
      </c>
      <c r="D55" s="230" t="s">
        <v>13700</v>
      </c>
      <c r="E55" s="182" t="s">
        <v>1061</v>
      </c>
      <c r="F55" s="182" t="s">
        <v>13701</v>
      </c>
      <c r="G55" s="182" t="s">
        <v>13177</v>
      </c>
      <c r="H55" s="183" t="s">
        <v>15938</v>
      </c>
      <c r="I55" s="184" t="s">
        <v>13735</v>
      </c>
      <c r="J55" s="184" t="s">
        <v>2522</v>
      </c>
      <c r="K55" s="224"/>
      <c r="L55" s="224"/>
      <c r="M55" s="224"/>
      <c r="N55" s="224">
        <v>-2146826246</v>
      </c>
      <c r="O55" s="224" t="s">
        <v>15835</v>
      </c>
      <c r="P55" s="185"/>
      <c r="Q55" s="225"/>
      <c r="R55" s="182" t="str">
        <f ca="1">IF(ISERROR($V55),"",OFFSET('Smelter Look-up'!$C$4,$V55-4,0)&amp;"")</f>
        <v>Fujairah Gold FZC</v>
      </c>
      <c r="S55" s="181" t="str">
        <f t="shared" ca="1" si="5"/>
        <v>AE</v>
      </c>
      <c r="T55" s="181" t="str">
        <f ca="1">IF(B55="","",IF(ISERROR(MATCH($J55,SorP!$B$1:$B$6226,0)),"",INDIRECT("'SorP'!$A$"&amp;MATCH($S55&amp;$J55,SorP!C:C,0))))</f>
        <v>AE-FU</v>
      </c>
      <c r="U55" s="201"/>
      <c r="V55" s="226">
        <f>IF(C55="",NA(),IF(OR(C55="Smelter not listed",C55="Smelter not yet identified"),MATCH($B55&amp;$D55,'Smelter Look-up'!$J:$J,0),MATCH($B55&amp;$C55,'Smelter Look-up'!$J:$J,0)))</f>
        <v>86</v>
      </c>
      <c r="X55" s="227">
        <f t="shared" si="6"/>
        <v>0</v>
      </c>
      <c r="AB55" s="228" t="str">
        <f t="shared" si="7"/>
        <v>GoldFujairah Gold FZC</v>
      </c>
    </row>
    <row r="56" spans="1:28" s="227" customFormat="1" ht="94.5">
      <c r="A56" s="181"/>
      <c r="B56" s="182" t="s">
        <v>1098</v>
      </c>
      <c r="C56" s="186" t="s">
        <v>13704</v>
      </c>
      <c r="D56" s="230" t="s">
        <v>13704</v>
      </c>
      <c r="E56" s="182" t="s">
        <v>1085</v>
      </c>
      <c r="F56" s="182" t="s">
        <v>2268</v>
      </c>
      <c r="G56" s="182" t="s">
        <v>13177</v>
      </c>
      <c r="H56" s="183" t="s">
        <v>15939</v>
      </c>
      <c r="I56" s="184" t="s">
        <v>2301</v>
      </c>
      <c r="J56" s="184" t="s">
        <v>8844</v>
      </c>
      <c r="K56" s="224"/>
      <c r="L56" s="224"/>
      <c r="M56" s="224"/>
      <c r="N56" s="224" t="s">
        <v>15861</v>
      </c>
      <c r="O56" s="224" t="s">
        <v>15940</v>
      </c>
      <c r="P56" s="185"/>
      <c r="Q56" s="225" t="s">
        <v>15840</v>
      </c>
      <c r="R56" s="182" t="str">
        <f ca="1">IF(ISERROR($V56),"",OFFSET('Smelter Look-up'!$C$4,$V56-4,0)&amp;"")</f>
        <v>REMONDIS PMR B.V.</v>
      </c>
      <c r="S56" s="181" t="str">
        <f t="shared" ca="1" si="5"/>
        <v>NL</v>
      </c>
      <c r="T56" s="181" t="str">
        <f ca="1">IF(B56="","",IF(ISERROR(MATCH($J56,SorP!$B$1:$B$6226,0)),"",INDIRECT("'SorP'!$A$"&amp;MATCH($S56&amp;$J56,SorP!C:C,0))))</f>
        <v>NL-NB</v>
      </c>
      <c r="U56" s="201"/>
      <c r="V56" s="226">
        <f>IF(C56="",NA(),IF(OR(C56="Smelter not listed",C56="Smelter not yet identified"),MATCH($B56&amp;$D56,'Smelter Look-up'!$J:$J,0),MATCH($B56&amp;$C56,'Smelter Look-up'!$J:$J,0)))</f>
        <v>228</v>
      </c>
      <c r="X56" s="227">
        <f t="shared" si="6"/>
        <v>0</v>
      </c>
      <c r="AB56" s="228" t="str">
        <f t="shared" si="7"/>
        <v>GoldREMONDIS PMR B.V.</v>
      </c>
    </row>
    <row r="57" spans="1:28" s="227" customFormat="1" ht="27">
      <c r="A57" s="181"/>
      <c r="B57" s="182" t="s">
        <v>1098</v>
      </c>
      <c r="C57" s="186" t="s">
        <v>2168</v>
      </c>
      <c r="D57" s="230" t="s">
        <v>2168</v>
      </c>
      <c r="E57" s="182" t="s">
        <v>1076</v>
      </c>
      <c r="F57" s="182" t="s">
        <v>1676</v>
      </c>
      <c r="G57" s="182" t="s">
        <v>13177</v>
      </c>
      <c r="H57" s="183" t="s">
        <v>15941</v>
      </c>
      <c r="I57" s="184" t="s">
        <v>1677</v>
      </c>
      <c r="J57" s="184" t="s">
        <v>6417</v>
      </c>
      <c r="K57" s="224"/>
      <c r="L57" s="224"/>
      <c r="M57" s="224"/>
      <c r="N57" s="224" t="s">
        <v>15928</v>
      </c>
      <c r="O57" s="224" t="s">
        <v>15942</v>
      </c>
      <c r="P57" s="185"/>
      <c r="Q57" s="225" t="s">
        <v>15840</v>
      </c>
      <c r="R57" s="182" t="str">
        <f ca="1">IF(ISERROR($V57),"",OFFSET('Smelter Look-up'!$C$4,$V57-4,0)&amp;"")</f>
        <v>T.C.A S.p.A</v>
      </c>
      <c r="S57" s="181" t="str">
        <f t="shared" ca="1" si="5"/>
        <v>IT</v>
      </c>
      <c r="T57" s="181" t="str">
        <f ca="1">IF(B57="","",IF(ISERROR(MATCH($J57,SorP!$B$1:$B$6226,0)),"",INDIRECT("'SorP'!$A$"&amp;MATCH($S57&amp;$J57,SorP!C:C,0))))</f>
        <v>IT-52</v>
      </c>
      <c r="U57" s="201"/>
      <c r="V57" s="226">
        <f>IF(C57="",NA(),IF(OR(C57="Smelter not listed",C57="Smelter not yet identified"),MATCH($B57&amp;$D57,'Smelter Look-up'!$J:$J,0),MATCH($B57&amp;$C57,'Smelter Look-up'!$J:$J,0)))</f>
        <v>278</v>
      </c>
      <c r="X57" s="227">
        <f t="shared" si="6"/>
        <v>0</v>
      </c>
      <c r="AB57" s="228" t="str">
        <f t="shared" si="7"/>
        <v>GoldT.C.A S.p.A</v>
      </c>
    </row>
    <row r="58" spans="1:28" s="227" customFormat="1" ht="27">
      <c r="A58" s="181"/>
      <c r="B58" s="182" t="s">
        <v>1098</v>
      </c>
      <c r="C58" s="186" t="s">
        <v>1673</v>
      </c>
      <c r="D58" s="230" t="s">
        <v>1673</v>
      </c>
      <c r="E58" s="182" t="s">
        <v>856</v>
      </c>
      <c r="F58" s="182" t="s">
        <v>1674</v>
      </c>
      <c r="G58" s="182" t="s">
        <v>13177</v>
      </c>
      <c r="H58" s="183" t="s">
        <v>15943</v>
      </c>
      <c r="I58" s="184" t="s">
        <v>1675</v>
      </c>
      <c r="J58" s="184" t="s">
        <v>1675</v>
      </c>
      <c r="K58" s="224"/>
      <c r="L58" s="224"/>
      <c r="M58" s="224"/>
      <c r="N58" s="224">
        <v>-2146826246</v>
      </c>
      <c r="O58" s="224" t="s">
        <v>15944</v>
      </c>
      <c r="P58" s="185"/>
      <c r="Q58" s="225"/>
      <c r="R58" s="182" t="str">
        <f ca="1">IF(ISERROR($V58),"",OFFSET('Smelter Look-up'!$C$4,$V58-4,0)&amp;"")</f>
        <v>Sudan Gold Refinery</v>
      </c>
      <c r="S58" s="181" t="str">
        <f t="shared" ca="1" si="5"/>
        <v>SD</v>
      </c>
      <c r="T58" s="181" t="str">
        <f ca="1">IF(B58="","",IF(ISERROR(MATCH($J58,SorP!$B$1:$B$6226,0)),"",INDIRECT("'SorP'!$A$"&amp;MATCH($S58&amp;$J58,SorP!C:C,0))))</f>
        <v>SD-KH</v>
      </c>
      <c r="U58" s="201"/>
      <c r="V58" s="226">
        <f>IF(C58="",NA(),IF(OR(C58="Smelter not listed",C58="Smelter not yet identified"),MATCH($B58&amp;$D58,'Smelter Look-up'!$J:$J,0),MATCH($B58&amp;$C58,'Smelter Look-up'!$J:$J,0)))</f>
        <v>272</v>
      </c>
      <c r="X58" s="227">
        <f t="shared" si="6"/>
        <v>0</v>
      </c>
      <c r="AB58" s="228" t="str">
        <f t="shared" si="7"/>
        <v>GoldSudan Gold Refinery</v>
      </c>
    </row>
    <row r="59" spans="1:28" s="227" customFormat="1" ht="27">
      <c r="A59" s="181"/>
      <c r="B59" s="182" t="s">
        <v>1098</v>
      </c>
      <c r="C59" s="186" t="s">
        <v>1671</v>
      </c>
      <c r="D59" s="230" t="s">
        <v>1671</v>
      </c>
      <c r="E59" s="182" t="s">
        <v>1061</v>
      </c>
      <c r="F59" s="182" t="s">
        <v>1672</v>
      </c>
      <c r="G59" s="182" t="s">
        <v>13177</v>
      </c>
      <c r="H59" s="183" t="s">
        <v>15945</v>
      </c>
      <c r="I59" s="184" t="s">
        <v>1668</v>
      </c>
      <c r="J59" s="184" t="s">
        <v>2524</v>
      </c>
      <c r="K59" s="224"/>
      <c r="L59" s="224"/>
      <c r="M59" s="224"/>
      <c r="N59" s="224">
        <v>-2146826246</v>
      </c>
      <c r="O59" s="224" t="s">
        <v>15946</v>
      </c>
      <c r="P59" s="185"/>
      <c r="Q59" s="225"/>
      <c r="R59" s="182" t="str">
        <f ca="1">IF(ISERROR($V59),"",OFFSET('Smelter Look-up'!$C$4,$V59-4,0)&amp;"")</f>
        <v>Kaloti Precious Metals</v>
      </c>
      <c r="S59" s="181" t="str">
        <f t="shared" ca="1" si="5"/>
        <v>AE</v>
      </c>
      <c r="T59" s="181" t="str">
        <f ca="1">IF(B59="","",IF(ISERROR(MATCH($J59,SorP!$B$1:$B$6226,0)),"",INDIRECT("'SorP'!$A$"&amp;MATCH($S59&amp;$J59,SorP!C:C,0))))</f>
        <v>AE-DU</v>
      </c>
      <c r="U59" s="201"/>
      <c r="V59" s="226">
        <f>IF(C59="",NA(),IF(OR(C59="Smelter not listed",C59="Smelter not yet identified"),MATCH($B59&amp;$D59,'Smelter Look-up'!$J:$J,0),MATCH($B59&amp;$C59,'Smelter Look-up'!$J:$J,0)))</f>
        <v>139</v>
      </c>
      <c r="X59" s="227">
        <f t="shared" si="6"/>
        <v>0</v>
      </c>
      <c r="AB59" s="228" t="str">
        <f t="shared" si="7"/>
        <v>GoldKaloti Precious Metals</v>
      </c>
    </row>
    <row r="60" spans="1:28" s="227" customFormat="1" ht="27">
      <c r="A60" s="181"/>
      <c r="B60" s="182" t="s">
        <v>1098</v>
      </c>
      <c r="C60" s="186" t="s">
        <v>13702</v>
      </c>
      <c r="D60" s="230" t="s">
        <v>13702</v>
      </c>
      <c r="E60" s="182" t="s">
        <v>1061</v>
      </c>
      <c r="F60" s="182" t="s">
        <v>13703</v>
      </c>
      <c r="G60" s="182" t="s">
        <v>13177</v>
      </c>
      <c r="H60" s="183" t="s">
        <v>15945</v>
      </c>
      <c r="I60" s="184" t="s">
        <v>1668</v>
      </c>
      <c r="J60" s="184" t="s">
        <v>2524</v>
      </c>
      <c r="K60" s="224"/>
      <c r="L60" s="224"/>
      <c r="M60" s="224"/>
      <c r="N60" s="224">
        <v>-2146826246</v>
      </c>
      <c r="O60" s="224" t="s">
        <v>15835</v>
      </c>
      <c r="P60" s="185"/>
      <c r="Q60" s="225"/>
      <c r="R60" s="182" t="str">
        <f ca="1">IF(ISERROR($V60),"",OFFSET('Smelter Look-up'!$C$4,$V60-4,0)&amp;"")</f>
        <v>International Precious Metal Refiners</v>
      </c>
      <c r="S60" s="181" t="str">
        <f t="shared" ca="1" si="5"/>
        <v>AE</v>
      </c>
      <c r="T60" s="181" t="str">
        <f ca="1">IF(B60="","",IF(ISERROR(MATCH($J60,SorP!$B$1:$B$6226,0)),"",INDIRECT("'SorP'!$A$"&amp;MATCH($S60&amp;$J60,SorP!C:C,0))))</f>
        <v>AE-DU</v>
      </c>
      <c r="U60" s="201"/>
      <c r="V60" s="226">
        <f>IF(C60="",NA(),IF(OR(C60="Smelter not listed",C60="Smelter not yet identified"),MATCH($B60&amp;$D60,'Smelter Look-up'!$J:$J,0),MATCH($B60&amp;$C60,'Smelter Look-up'!$J:$J,0)))</f>
        <v>122</v>
      </c>
      <c r="X60" s="227">
        <f t="shared" si="6"/>
        <v>0</v>
      </c>
      <c r="AB60" s="228" t="str">
        <f t="shared" si="7"/>
        <v>GoldInternational Precious Metal Refiners</v>
      </c>
    </row>
    <row r="61" spans="1:28" s="227" customFormat="1" ht="67.5">
      <c r="A61" s="181"/>
      <c r="B61" s="182" t="s">
        <v>1098</v>
      </c>
      <c r="C61" s="186" t="s">
        <v>1669</v>
      </c>
      <c r="D61" s="230" t="s">
        <v>1669</v>
      </c>
      <c r="E61" s="182" t="s">
        <v>1061</v>
      </c>
      <c r="F61" s="182" t="s">
        <v>1670</v>
      </c>
      <c r="G61" s="182" t="s">
        <v>13177</v>
      </c>
      <c r="H61" s="183" t="s">
        <v>15947</v>
      </c>
      <c r="I61" s="184" t="s">
        <v>1668</v>
      </c>
      <c r="J61" s="184" t="s">
        <v>2524</v>
      </c>
      <c r="K61" s="224"/>
      <c r="L61" s="224"/>
      <c r="M61" s="224"/>
      <c r="N61" s="224" t="s">
        <v>15948</v>
      </c>
      <c r="O61" s="224" t="s">
        <v>15949</v>
      </c>
      <c r="P61" s="185"/>
      <c r="Q61" s="225" t="s">
        <v>15840</v>
      </c>
      <c r="R61" s="182" t="str">
        <f ca="1">IF(ISERROR($V61),"",OFFSET('Smelter Look-up'!$C$4,$V61-4,0)&amp;"")</f>
        <v>Emirates Gold DMCC</v>
      </c>
      <c r="S61" s="181" t="str">
        <f t="shared" ca="1" si="5"/>
        <v>AE</v>
      </c>
      <c r="T61" s="181" t="str">
        <f ca="1">IF(B61="","",IF(ISERROR(MATCH($J61,SorP!$B$1:$B$6226,0)),"",INDIRECT("'SorP'!$A$"&amp;MATCH($S61&amp;$J61,SorP!C:C,0))))</f>
        <v>AE-DU</v>
      </c>
      <c r="U61" s="201"/>
      <c r="V61" s="226">
        <f>IF(C61="",NA(),IF(OR(C61="Smelter not listed",C61="Smelter not yet identified"),MATCH($B61&amp;$D61,'Smelter Look-up'!$J:$J,0),MATCH($B61&amp;$C61,'Smelter Look-up'!$J:$J,0)))</f>
        <v>82</v>
      </c>
      <c r="X61" s="227">
        <f t="shared" si="6"/>
        <v>0</v>
      </c>
      <c r="AB61" s="228" t="str">
        <f t="shared" si="7"/>
        <v>GoldEmirates Gold DMCC</v>
      </c>
    </row>
    <row r="62" spans="1:28" s="227" customFormat="1" ht="202.5">
      <c r="A62" s="181"/>
      <c r="B62" s="182" t="s">
        <v>1098</v>
      </c>
      <c r="C62" s="186" t="s">
        <v>1666</v>
      </c>
      <c r="D62" s="230" t="s">
        <v>1666</v>
      </c>
      <c r="E62" s="182" t="s">
        <v>1061</v>
      </c>
      <c r="F62" s="182" t="s">
        <v>1667</v>
      </c>
      <c r="G62" s="182" t="s">
        <v>13177</v>
      </c>
      <c r="H62" s="183" t="s">
        <v>15947</v>
      </c>
      <c r="I62" s="184" t="s">
        <v>1668</v>
      </c>
      <c r="J62" s="184" t="s">
        <v>2524</v>
      </c>
      <c r="K62" s="224"/>
      <c r="L62" s="224"/>
      <c r="M62" s="224"/>
      <c r="N62" s="224" t="s">
        <v>15950</v>
      </c>
      <c r="O62" s="224" t="s">
        <v>15951</v>
      </c>
      <c r="P62" s="185"/>
      <c r="Q62" s="225" t="s">
        <v>15840</v>
      </c>
      <c r="R62" s="182" t="str">
        <f ca="1">IF(ISERROR($V62),"",OFFSET('Smelter Look-up'!$C$4,$V62-4,0)&amp;"")</f>
        <v>Al Etihad Gold Refinery DMCC</v>
      </c>
      <c r="S62" s="181" t="str">
        <f t="shared" ca="1" si="5"/>
        <v>AE</v>
      </c>
      <c r="T62" s="181" t="str">
        <f ca="1">IF(B62="","",IF(ISERROR(MATCH($J62,SorP!$B$1:$B$6226,0)),"",INDIRECT("'SorP'!$A$"&amp;MATCH($S62&amp;$J62,SorP!C:C,0))))</f>
        <v>AE-DU</v>
      </c>
      <c r="U62" s="201"/>
      <c r="V62" s="226">
        <f>IF(C62="",NA(),IF(OR(C62="Smelter not listed",C62="Smelter not yet identified"),MATCH($B62&amp;$D62,'Smelter Look-up'!$J:$J,0),MATCH($B62&amp;$C62,'Smelter Look-up'!$J:$J,0)))</f>
        <v>16</v>
      </c>
      <c r="X62" s="227">
        <f t="shared" si="6"/>
        <v>0</v>
      </c>
      <c r="AB62" s="228" t="str">
        <f t="shared" si="7"/>
        <v>GoldAl Etihad Gold Refinery DMCC</v>
      </c>
    </row>
    <row r="63" spans="1:28" s="227" customFormat="1" ht="27">
      <c r="A63" s="181"/>
      <c r="B63" s="182" t="s">
        <v>1098</v>
      </c>
      <c r="C63" s="186" t="s">
        <v>14941</v>
      </c>
      <c r="D63" s="230" t="s">
        <v>14941</v>
      </c>
      <c r="E63" s="182" t="s">
        <v>1069</v>
      </c>
      <c r="F63" s="182" t="s">
        <v>14942</v>
      </c>
      <c r="G63" s="182" t="s">
        <v>13177</v>
      </c>
      <c r="H63" s="183" t="s">
        <v>15952</v>
      </c>
      <c r="I63" s="184" t="s">
        <v>14983</v>
      </c>
      <c r="J63" s="184" t="s">
        <v>15953</v>
      </c>
      <c r="K63" s="224"/>
      <c r="L63" s="224"/>
      <c r="M63" s="224"/>
      <c r="N63" s="224">
        <v>-2146826246</v>
      </c>
      <c r="O63" s="224" t="s">
        <v>15954</v>
      </c>
      <c r="P63" s="185"/>
      <c r="Q63" s="225"/>
      <c r="R63" s="182" t="str">
        <f ca="1">IF(ISERROR($V63),"",OFFSET('Smelter Look-up'!$C$4,$V63-4,0)&amp;"")</f>
        <v>Shenzhen Zhonghenglong Real Industry Co., Ltd.</v>
      </c>
      <c r="S63" s="181" t="str">
        <f t="shared" ca="1" si="5"/>
        <v>CN</v>
      </c>
      <c r="T63" s="181" t="str">
        <f ca="1">IF(B63="","",IF(ISERROR(MATCH($J63,SorP!$B$1:$B$6226,0)),"",INDIRECT("'SorP'!$A$"&amp;MATCH($S63&amp;$J63,SorP!C:C,0))))</f>
        <v/>
      </c>
      <c r="U63" s="201"/>
      <c r="V63" s="226">
        <f>IF(C63="",NA(),IF(OR(C63="Smelter not listed",C63="Smelter not yet identified"),MATCH($B63&amp;$D63,'Smelter Look-up'!$J:$J,0),MATCH($B63&amp;$C63,'Smelter Look-up'!$J:$J,0)))</f>
        <v>258</v>
      </c>
      <c r="X63" s="227">
        <f t="shared" si="6"/>
        <v>0</v>
      </c>
      <c r="AB63" s="228" t="str">
        <f t="shared" si="7"/>
        <v>GoldShenzhen Zhonghenglong Real Industry Co., Ltd.</v>
      </c>
    </row>
    <row r="64" spans="1:28" s="227" customFormat="1" ht="27">
      <c r="A64" s="181"/>
      <c r="B64" s="182" t="s">
        <v>1098</v>
      </c>
      <c r="C64" s="186" t="s">
        <v>13705</v>
      </c>
      <c r="D64" s="230" t="s">
        <v>13705</v>
      </c>
      <c r="E64" s="182" t="s">
        <v>1069</v>
      </c>
      <c r="F64" s="182" t="s">
        <v>13706</v>
      </c>
      <c r="G64" s="182" t="s">
        <v>13177</v>
      </c>
      <c r="H64" s="183" t="s">
        <v>15955</v>
      </c>
      <c r="I64" s="184" t="s">
        <v>1621</v>
      </c>
      <c r="J64" s="184" t="s">
        <v>13532</v>
      </c>
      <c r="K64" s="224"/>
      <c r="L64" s="224"/>
      <c r="M64" s="224"/>
      <c r="N64" s="224">
        <v>-2146826246</v>
      </c>
      <c r="O64" s="224" t="s">
        <v>15835</v>
      </c>
      <c r="P64" s="185"/>
      <c r="Q64" s="225"/>
      <c r="R64" s="182" t="str">
        <f ca="1">IF(ISERROR($V64),"",OFFSET('Smelter Look-up'!$C$4,$V64-4,0)&amp;"")</f>
        <v>Shandong Humon Smelting Co., Ltd.</v>
      </c>
      <c r="S64" s="181" t="str">
        <f t="shared" ca="1" si="5"/>
        <v>CN</v>
      </c>
      <c r="T64" s="181" t="str">
        <f ca="1">IF(B64="","",IF(ISERROR(MATCH($J64,SorP!$B$1:$B$6226,0)),"",INDIRECT("'SorP'!$A$"&amp;MATCH($S64&amp;$J64,SorP!C:C,0))))</f>
        <v>CN-SD</v>
      </c>
      <c r="U64" s="201"/>
      <c r="V64" s="226">
        <f>IF(C64="",NA(),IF(OR(C64="Smelter not listed",C64="Smelter not yet identified"),MATCH($B64&amp;$D64,'Smelter Look-up'!$J:$J,0),MATCH($B64&amp;$C64,'Smelter Look-up'!$J:$J,0)))</f>
        <v>250</v>
      </c>
      <c r="X64" s="227">
        <f t="shared" si="6"/>
        <v>0</v>
      </c>
      <c r="AB64" s="228" t="str">
        <f t="shared" si="7"/>
        <v>GoldShandong Humon Smelting Co., Ltd.</v>
      </c>
    </row>
    <row r="65" spans="1:28" s="227" customFormat="1" ht="202.5">
      <c r="A65" s="181"/>
      <c r="B65" s="182" t="s">
        <v>1098</v>
      </c>
      <c r="C65" s="186" t="s">
        <v>1358</v>
      </c>
      <c r="D65" s="230" t="s">
        <v>1358</v>
      </c>
      <c r="E65" s="182" t="s">
        <v>2383</v>
      </c>
      <c r="F65" s="182" t="s">
        <v>1359</v>
      </c>
      <c r="G65" s="182" t="s">
        <v>13177</v>
      </c>
      <c r="H65" s="183" t="s">
        <v>15956</v>
      </c>
      <c r="I65" s="184" t="s">
        <v>1664</v>
      </c>
      <c r="J65" s="184" t="s">
        <v>1665</v>
      </c>
      <c r="K65" s="224"/>
      <c r="L65" s="224"/>
      <c r="M65" s="224"/>
      <c r="N65" s="224" t="s">
        <v>15957</v>
      </c>
      <c r="O65" s="224" t="s">
        <v>15958</v>
      </c>
      <c r="P65" s="185"/>
      <c r="Q65" s="225" t="s">
        <v>15840</v>
      </c>
      <c r="R65" s="182" t="str">
        <f ca="1">IF(ISERROR($V65),"",OFFSET('Smelter Look-up'!$C$4,$V65-4,0)&amp;"")</f>
        <v>Singway Technology Co., Ltd.</v>
      </c>
      <c r="S65" s="181" t="str">
        <f t="shared" ca="1" si="5"/>
        <v>TW</v>
      </c>
      <c r="T65" s="181" t="str">
        <f ca="1">IF(B65="","",IF(ISERROR(MATCH($J65,SorP!$B$1:$B$6226,0)),"",INDIRECT("'SorP'!$A$"&amp;MATCH($S65&amp;$J65,SorP!C:C,0))))</f>
        <v>TW-TAO</v>
      </c>
      <c r="U65" s="201"/>
      <c r="V65" s="226">
        <f>IF(C65="",NA(),IF(OR(C65="Smelter not listed",C65="Smelter not yet identified"),MATCH($B65&amp;$D65,'Smelter Look-up'!$J:$J,0),MATCH($B65&amp;$C65,'Smelter Look-up'!$J:$J,0)))</f>
        <v>264</v>
      </c>
      <c r="X65" s="227">
        <f t="shared" si="6"/>
        <v>0</v>
      </c>
      <c r="AB65" s="228" t="str">
        <f t="shared" si="7"/>
        <v>GoldSingway Technology Co., Ltd.</v>
      </c>
    </row>
    <row r="66" spans="1:28" s="227" customFormat="1" ht="27">
      <c r="A66" s="181"/>
      <c r="B66" s="182" t="s">
        <v>1098</v>
      </c>
      <c r="C66" s="186" t="s">
        <v>1351</v>
      </c>
      <c r="D66" s="230" t="s">
        <v>1351</v>
      </c>
      <c r="E66" s="182" t="s">
        <v>866</v>
      </c>
      <c r="F66" s="182" t="s">
        <v>1352</v>
      </c>
      <c r="G66" s="182" t="s">
        <v>13177</v>
      </c>
      <c r="H66" s="183" t="s">
        <v>15959</v>
      </c>
      <c r="I66" s="184" t="s">
        <v>1662</v>
      </c>
      <c r="J66" s="184" t="s">
        <v>1663</v>
      </c>
      <c r="K66" s="224"/>
      <c r="L66" s="224"/>
      <c r="M66" s="224"/>
      <c r="N66" s="224">
        <v>-2146826246</v>
      </c>
      <c r="O66" s="224" t="s">
        <v>15960</v>
      </c>
      <c r="P66" s="185"/>
      <c r="Q66" s="225"/>
      <c r="R66" s="182" t="str">
        <f ca="1">IF(ISERROR($V66),"",OFFSET('Smelter Look-up'!$C$4,$V66-4,0)&amp;"")</f>
        <v>Fidelity Printers and Refiners Ltd.</v>
      </c>
      <c r="S66" s="181" t="str">
        <f t="shared" ca="1" si="5"/>
        <v>ZW</v>
      </c>
      <c r="T66" s="181" t="str">
        <f ca="1">IF(B66="","",IF(ISERROR(MATCH($J66,SorP!$B$1:$B$6226,0)),"",INDIRECT("'SorP'!$A$"&amp;MATCH($S66&amp;$J66,SorP!C:C,0))))</f>
        <v>ZW-HA</v>
      </c>
      <c r="U66" s="201"/>
      <c r="V66" s="226">
        <f>IF(C66="",NA(),IF(OR(C66="Smelter not listed",C66="Smelter not yet identified"),MATCH($B66&amp;$D66,'Smelter Look-up'!$J:$J,0),MATCH($B66&amp;$C66,'Smelter Look-up'!$J:$J,0)))</f>
        <v>84</v>
      </c>
      <c r="X66" s="227">
        <f t="shared" si="6"/>
        <v>0</v>
      </c>
      <c r="AB66" s="228" t="str">
        <f t="shared" si="7"/>
        <v>GoldFidelity Printers and Refiners Ltd.</v>
      </c>
    </row>
    <row r="67" spans="1:28" s="227" customFormat="1" ht="216">
      <c r="A67" s="181"/>
      <c r="B67" s="182" t="s">
        <v>1098</v>
      </c>
      <c r="C67" s="186" t="s">
        <v>12653</v>
      </c>
      <c r="D67" s="230" t="s">
        <v>12653</v>
      </c>
      <c r="E67" s="182" t="s">
        <v>853</v>
      </c>
      <c r="F67" s="182" t="s">
        <v>1354</v>
      </c>
      <c r="G67" s="182" t="s">
        <v>13177</v>
      </c>
      <c r="H67" s="183" t="s">
        <v>15961</v>
      </c>
      <c r="I67" s="184" t="s">
        <v>1661</v>
      </c>
      <c r="J67" s="184" t="s">
        <v>9441</v>
      </c>
      <c r="K67" s="224"/>
      <c r="L67" s="224"/>
      <c r="M67" s="224"/>
      <c r="N67" s="224" t="s">
        <v>15928</v>
      </c>
      <c r="O67" s="224" t="s">
        <v>15962</v>
      </c>
      <c r="P67" s="185"/>
      <c r="Q67" s="225" t="s">
        <v>15840</v>
      </c>
      <c r="R67" s="182" t="str">
        <f ca="1">IF(ISERROR($V67),"",OFFSET('Smelter Look-up'!$C$4,$V67-4,0)&amp;"")</f>
        <v>KGHM Polska Miedz Spolka Akcyjna</v>
      </c>
      <c r="S67" s="181" t="str">
        <f t="shared" ca="1" si="5"/>
        <v>PL</v>
      </c>
      <c r="T67" s="181" t="str">
        <f ca="1">IF(B67="","",IF(ISERROR(MATCH($J67,SorP!$B$1:$B$6226,0)),"",INDIRECT("'SorP'!$A$"&amp;MATCH($S67&amp;$J67,SorP!C:C,0))))</f>
        <v>PL-02</v>
      </c>
      <c r="U67" s="201"/>
      <c r="V67" s="226">
        <f>IF(C67="",NA(),IF(OR(C67="Smelter not listed",C67="Smelter not yet identified"),MATCH($B67&amp;$D67,'Smelter Look-up'!$J:$J,0),MATCH($B67&amp;$C67,'Smelter Look-up'!$J:$J,0)))</f>
        <v>144</v>
      </c>
      <c r="X67" s="227">
        <f t="shared" si="6"/>
        <v>0</v>
      </c>
      <c r="AB67" s="228" t="str">
        <f t="shared" si="7"/>
        <v>GoldKGHM Polska Miedz Spolka Akcyjna</v>
      </c>
    </row>
    <row r="68" spans="1:28" s="227" customFormat="1" ht="94.5">
      <c r="A68" s="181"/>
      <c r="B68" s="182" t="s">
        <v>1098</v>
      </c>
      <c r="C68" s="186" t="s">
        <v>2124</v>
      </c>
      <c r="D68" s="230" t="s">
        <v>2124</v>
      </c>
      <c r="E68" s="182" t="s">
        <v>1075</v>
      </c>
      <c r="F68" s="182" t="s">
        <v>1356</v>
      </c>
      <c r="G68" s="182" t="s">
        <v>13177</v>
      </c>
      <c r="H68" s="183" t="s">
        <v>15963</v>
      </c>
      <c r="I68" s="184" t="s">
        <v>1659</v>
      </c>
      <c r="J68" s="184" t="s">
        <v>15964</v>
      </c>
      <c r="K68" s="224"/>
      <c r="L68" s="224"/>
      <c r="M68" s="224"/>
      <c r="N68" s="224" t="s">
        <v>15928</v>
      </c>
      <c r="O68" s="224" t="s">
        <v>15965</v>
      </c>
      <c r="P68" s="185"/>
      <c r="Q68" s="225" t="s">
        <v>15840</v>
      </c>
      <c r="R68" s="182" t="str">
        <f ca="1">IF(ISERROR($V68),"",OFFSET('Smelter Look-up'!$C$4,$V68-4,0)&amp;"")</f>
        <v>MMTC-PAMP India Pvt., Ltd.</v>
      </c>
      <c r="S68" s="181" t="str">
        <f t="shared" ca="1" si="5"/>
        <v>IN</v>
      </c>
      <c r="T68" s="181" t="str">
        <f ca="1">IF(B68="","",IF(ISERROR(MATCH($J68,SorP!$B$1:$B$6226,0)),"",INDIRECT("'SorP'!$A$"&amp;MATCH($S68&amp;$J68,SorP!C:C,0))))</f>
        <v/>
      </c>
      <c r="U68" s="201"/>
      <c r="V68" s="226">
        <f>IF(C68="",NA(),IF(OR(C68="Smelter not listed",C68="Smelter not yet identified"),MATCH($B68&amp;$D68,'Smelter Look-up'!$J:$J,0),MATCH($B68&amp;$C68,'Smelter Look-up'!$J:$J,0)))</f>
        <v>193</v>
      </c>
      <c r="X68" s="227">
        <f t="shared" si="6"/>
        <v>0</v>
      </c>
      <c r="AB68" s="228" t="str">
        <f t="shared" si="7"/>
        <v>GoldMMTC-PAMP India Pvt., Ltd.</v>
      </c>
    </row>
    <row r="69" spans="1:28" s="227" customFormat="1" ht="40.5">
      <c r="A69" s="181"/>
      <c r="B69" s="182" t="s">
        <v>1098</v>
      </c>
      <c r="C69" s="186" t="s">
        <v>15966</v>
      </c>
      <c r="D69" s="230" t="s">
        <v>15966</v>
      </c>
      <c r="E69" s="182" t="s">
        <v>2384</v>
      </c>
      <c r="F69" s="182" t="s">
        <v>15967</v>
      </c>
      <c r="G69" s="182" t="s">
        <v>13177</v>
      </c>
      <c r="H69" s="183" t="s">
        <v>15968</v>
      </c>
      <c r="I69" s="184" t="s">
        <v>1506</v>
      </c>
      <c r="J69" s="184" t="s">
        <v>1507</v>
      </c>
      <c r="K69" s="224"/>
      <c r="L69" s="224"/>
      <c r="M69" s="224"/>
      <c r="N69" s="224" t="s">
        <v>15861</v>
      </c>
      <c r="O69" s="224" t="s">
        <v>15969</v>
      </c>
      <c r="P69" s="185"/>
      <c r="Q69" s="225" t="s">
        <v>15840</v>
      </c>
      <c r="R69" s="182" t="str">
        <f ca="1">IF(ISERROR($V69),"",OFFSET('Smelter Look-up'!$C$4,$V69-4,0)&amp;"")</f>
        <v/>
      </c>
      <c r="S69" s="181" t="str">
        <f t="shared" ref="S69" ca="1" si="8">IF(B69="","",IF(ISERROR(MATCH($E69,CL,0)),"Unknown",INDIRECT("'C'!$A$"&amp;MATCH($E69,CL,0)+1)))</f>
        <v>US</v>
      </c>
      <c r="T69" s="181" t="str">
        <f ca="1">IF(B69="","",IF(ISERROR(MATCH($J69,SorP!$B$1:$B$6226,0)),"",INDIRECT("'SorP'!$A$"&amp;MATCH($S69&amp;$J69,SorP!C:C,0))))</f>
        <v>US-RI</v>
      </c>
      <c r="U69" s="201"/>
      <c r="V69" s="226" t="e">
        <f>IF(C69="",NA(),IF(OR(C69="Smelter not listed",C69="Smelter not yet identified"),MATCH($B69&amp;$D69,'Smelter Look-up'!$J:$J,0),MATCH($B69&amp;$C69,'Smelter Look-up'!$J:$J,0)))</f>
        <v>#N/A</v>
      </c>
      <c r="X69" s="227">
        <f t="shared" ref="X69" si="9">IF(AND(C69="Smelter not listed",OR(LEN(D69)=0,LEN(E69)=0)),1,0)</f>
        <v>0</v>
      </c>
      <c r="AB69" s="228" t="str">
        <f t="shared" ref="AB69" si="10">B69&amp;C69</f>
        <v>GoldGeib Refining Corporation</v>
      </c>
    </row>
    <row r="70" spans="1:28" s="227" customFormat="1" ht="67.5">
      <c r="A70" s="181"/>
      <c r="B70" s="182" t="s">
        <v>1098</v>
      </c>
      <c r="C70" s="186" t="s">
        <v>138</v>
      </c>
      <c r="D70" s="230" t="s">
        <v>138</v>
      </c>
      <c r="E70" s="182" t="s">
        <v>859</v>
      </c>
      <c r="F70" s="182" t="s">
        <v>139</v>
      </c>
      <c r="G70" s="182" t="s">
        <v>13177</v>
      </c>
      <c r="H70" s="183" t="s">
        <v>15970</v>
      </c>
      <c r="I70" s="184" t="s">
        <v>12354</v>
      </c>
      <c r="J70" s="184" t="s">
        <v>11002</v>
      </c>
      <c r="K70" s="224"/>
      <c r="L70" s="224"/>
      <c r="M70" s="224"/>
      <c r="N70" s="224" t="s">
        <v>15912</v>
      </c>
      <c r="O70" s="224" t="s">
        <v>15971</v>
      </c>
      <c r="P70" s="185"/>
      <c r="Q70" s="225" t="s">
        <v>15840</v>
      </c>
      <c r="R70" s="182" t="str">
        <f ca="1">IF(ISERROR($V70),"",OFFSET('Smelter Look-up'!$C$4,$V70-4,0)&amp;"")</f>
        <v>Umicore Precious Metals Thailand</v>
      </c>
      <c r="S70" s="181" t="str">
        <f t="shared" ref="S70:S101" ca="1" si="11">IF(B70="","",IF(ISERROR(MATCH($E70,CL,0)),"Unknown",INDIRECT("'C'!$A$"&amp;MATCH($E70,CL,0)+1)))</f>
        <v>TH</v>
      </c>
      <c r="T70" s="181" t="str">
        <f ca="1">IF(B70="","",IF(ISERROR(MATCH($J70,SorP!$B$1:$B$6226,0)),"",INDIRECT("'SorP'!$A$"&amp;MATCH($S70&amp;$J70,SorP!C:C,0))))</f>
        <v>TH-10</v>
      </c>
      <c r="U70" s="201"/>
      <c r="V70" s="226">
        <f>IF(C70="",NA(),IF(OR(C70="Smelter not listed",C70="Smelter not yet identified"),MATCH($B70&amp;$D70,'Smelter Look-up'!$J:$J,0),MATCH($B70&amp;$C70,'Smelter Look-up'!$J:$J,0)))</f>
        <v>301</v>
      </c>
      <c r="X70" s="227">
        <f t="shared" ref="X70:X101" si="12">IF(AND(C70="Smelter not listed",OR(LEN(D70)=0,LEN(E70)=0)),1,0)</f>
        <v>0</v>
      </c>
      <c r="AB70" s="228" t="str">
        <f t="shared" ref="AB70:AB101" si="13">B70&amp;C70</f>
        <v>GoldUmicore Precious Metals Thailand</v>
      </c>
    </row>
    <row r="71" spans="1:28" s="227" customFormat="1" ht="67.5">
      <c r="A71" s="181"/>
      <c r="B71" s="182" t="s">
        <v>1098</v>
      </c>
      <c r="C71" s="186" t="s">
        <v>657</v>
      </c>
      <c r="D71" s="230" t="s">
        <v>657</v>
      </c>
      <c r="E71" s="182" t="s">
        <v>1069</v>
      </c>
      <c r="F71" s="182" t="s">
        <v>658</v>
      </c>
      <c r="G71" s="182" t="s">
        <v>13177</v>
      </c>
      <c r="H71" s="183" t="s">
        <v>15972</v>
      </c>
      <c r="I71" s="184" t="s">
        <v>1657</v>
      </c>
      <c r="J71" s="184" t="s">
        <v>13536</v>
      </c>
      <c r="K71" s="224"/>
      <c r="L71" s="224"/>
      <c r="M71" s="224"/>
      <c r="N71" s="224">
        <v>-2146826246</v>
      </c>
      <c r="O71" s="224" t="s">
        <v>15973</v>
      </c>
      <c r="P71" s="185"/>
      <c r="Q71" s="225"/>
      <c r="R71" s="182" t="str">
        <f ca="1">IF(ISERROR($V71),"",OFFSET('Smelter Look-up'!$C$4,$V71-4,0)&amp;"")</f>
        <v>Guangdong Jinding Gold Limited</v>
      </c>
      <c r="S71" s="181" t="str">
        <f t="shared" ca="1" si="11"/>
        <v>CN</v>
      </c>
      <c r="T71" s="181" t="str">
        <f ca="1">IF(B71="","",IF(ISERROR(MATCH($J71,SorP!$B$1:$B$6226,0)),"",INDIRECT("'SorP'!$A$"&amp;MATCH($S71&amp;$J71,SorP!C:C,0))))</f>
        <v>CN-GD</v>
      </c>
      <c r="U71" s="201"/>
      <c r="V71" s="226">
        <f>IF(C71="",NA(),IF(OR(C71="Smelter not listed",C71="Smelter not yet identified"),MATCH($B71&amp;$D71,'Smelter Look-up'!$J:$J,0),MATCH($B71&amp;$C71,'Smelter Look-up'!$J:$J,0)))</f>
        <v>99</v>
      </c>
      <c r="X71" s="227">
        <f t="shared" si="12"/>
        <v>0</v>
      </c>
      <c r="AB71" s="228" t="str">
        <f t="shared" si="13"/>
        <v>GoldGuangdong Jinding Gold Limited</v>
      </c>
    </row>
    <row r="72" spans="1:28" s="227" customFormat="1" ht="40.5">
      <c r="A72" s="181"/>
      <c r="B72" s="182" t="s">
        <v>1098</v>
      </c>
      <c r="C72" s="186" t="s">
        <v>15974</v>
      </c>
      <c r="D72" s="230" t="s">
        <v>15974</v>
      </c>
      <c r="E72" s="182" t="s">
        <v>13409</v>
      </c>
      <c r="F72" s="182" t="s">
        <v>2270</v>
      </c>
      <c r="G72" s="182" t="s">
        <v>13177</v>
      </c>
      <c r="H72" s="183" t="s">
        <v>15975</v>
      </c>
      <c r="I72" s="184" t="s">
        <v>2271</v>
      </c>
      <c r="J72" s="184" t="s">
        <v>4102</v>
      </c>
      <c r="K72" s="224"/>
      <c r="L72" s="224"/>
      <c r="M72" s="224"/>
      <c r="N72" s="224" t="s">
        <v>15861</v>
      </c>
      <c r="O72" s="224" t="s">
        <v>15976</v>
      </c>
      <c r="P72" s="185"/>
      <c r="Q72" s="225" t="s">
        <v>15840</v>
      </c>
      <c r="R72" s="182" t="str">
        <f ca="1">IF(ISERROR($V72),"",OFFSET('Smelter Look-up'!$C$4,$V72-4,0)&amp;"")</f>
        <v>SAFINA A.S.</v>
      </c>
      <c r="S72" s="181" t="str">
        <f t="shared" ca="1" si="11"/>
        <v>CZ</v>
      </c>
      <c r="T72" s="181" t="str">
        <f ca="1">IF(B72="","",IF(ISERROR(MATCH($J72,SorP!$B$1:$B$6226,0)),"",INDIRECT("'SorP'!$A$"&amp;MATCH($S72&amp;$J72,SorP!C:C,0))))</f>
        <v>CZ-20A</v>
      </c>
      <c r="U72" s="201"/>
      <c r="V72" s="226">
        <f>IF(C72="",NA(),IF(OR(C72="Smelter not listed",C72="Smelter not yet identified"),MATCH($B72&amp;$D72,'Smelter Look-up'!$J:$J,0),MATCH($B72&amp;$C72,'Smelter Look-up'!$J:$J,0)))</f>
        <v>233</v>
      </c>
      <c r="X72" s="227">
        <f t="shared" si="12"/>
        <v>0</v>
      </c>
      <c r="AB72" s="228" t="str">
        <f t="shared" si="13"/>
        <v>GoldSafina a.s.</v>
      </c>
    </row>
    <row r="73" spans="1:28" s="227" customFormat="1" ht="54">
      <c r="A73" s="181"/>
      <c r="B73" s="182" t="s">
        <v>1098</v>
      </c>
      <c r="C73" s="186" t="s">
        <v>2160</v>
      </c>
      <c r="D73" s="230" t="s">
        <v>2160</v>
      </c>
      <c r="E73" s="182" t="s">
        <v>1086</v>
      </c>
      <c r="F73" s="182" t="s">
        <v>2161</v>
      </c>
      <c r="G73" s="182" t="s">
        <v>13177</v>
      </c>
      <c r="H73" s="183" t="s">
        <v>15977</v>
      </c>
      <c r="I73" s="184" t="s">
        <v>2264</v>
      </c>
      <c r="J73" s="184" t="s">
        <v>2162</v>
      </c>
      <c r="K73" s="224"/>
      <c r="L73" s="224"/>
      <c r="M73" s="224"/>
      <c r="N73" s="224">
        <v>-2146826246</v>
      </c>
      <c r="O73" s="224" t="s">
        <v>15978</v>
      </c>
      <c r="P73" s="185"/>
      <c r="Q73" s="225"/>
      <c r="R73" s="182" t="str">
        <f ca="1">IF(ISERROR($V73),"",OFFSET('Smelter Look-up'!$C$4,$V73-4,0)&amp;"")</f>
        <v>Morris and Watson</v>
      </c>
      <c r="S73" s="181" t="str">
        <f t="shared" ca="1" si="11"/>
        <v>NZ</v>
      </c>
      <c r="T73" s="181" t="str">
        <f ca="1">IF(B73="","",IF(ISERROR(MATCH($J73,SorP!$B$1:$B$6226,0)),"",INDIRECT("'SorP'!$A$"&amp;MATCH($S73&amp;$J73,SorP!C:C,0))))</f>
        <v>NZ-AUK</v>
      </c>
      <c r="U73" s="201"/>
      <c r="V73" s="226">
        <f>IF(C73="",NA(),IF(OR(C73="Smelter not listed",C73="Smelter not yet identified"),MATCH($B73&amp;$D73,'Smelter Look-up'!$J:$J,0),MATCH($B73&amp;$C73,'Smelter Look-up'!$J:$J,0)))</f>
        <v>195</v>
      </c>
      <c r="X73" s="227">
        <f t="shared" si="12"/>
        <v>0</v>
      </c>
      <c r="AB73" s="228" t="str">
        <f t="shared" si="13"/>
        <v>GoldMorris and Watson</v>
      </c>
    </row>
    <row r="74" spans="1:28" s="227" customFormat="1" ht="162">
      <c r="A74" s="181"/>
      <c r="B74" s="182" t="s">
        <v>1098</v>
      </c>
      <c r="C74" s="186" t="s">
        <v>2448</v>
      </c>
      <c r="D74" s="230" t="s">
        <v>2448</v>
      </c>
      <c r="E74" s="182" t="s">
        <v>1069</v>
      </c>
      <c r="F74" s="182" t="s">
        <v>727</v>
      </c>
      <c r="G74" s="182" t="s">
        <v>13177</v>
      </c>
      <c r="H74" s="183" t="s">
        <v>15979</v>
      </c>
      <c r="I74" s="184" t="s">
        <v>1655</v>
      </c>
      <c r="J74" s="184" t="s">
        <v>13530</v>
      </c>
      <c r="K74" s="224"/>
      <c r="L74" s="224"/>
      <c r="M74" s="224"/>
      <c r="N74" s="224" t="s">
        <v>15928</v>
      </c>
      <c r="O74" s="224" t="s">
        <v>15980</v>
      </c>
      <c r="P74" s="185"/>
      <c r="Q74" s="225" t="s">
        <v>15840</v>
      </c>
      <c r="R74" s="182" t="str">
        <f ca="1">IF(ISERROR($V74),"",OFFSET('Smelter Look-up'!$C$4,$V74-4,0)&amp;"")</f>
        <v>Gold Refinery of Zijin Mining Group Co., Ltd.</v>
      </c>
      <c r="S74" s="181" t="str">
        <f t="shared" ca="1" si="11"/>
        <v>CN</v>
      </c>
      <c r="T74" s="181" t="str">
        <f ca="1">IF(B74="","",IF(ISERROR(MATCH($J74,SorP!$B$1:$B$6226,0)),"",INDIRECT("'SorP'!$A$"&amp;MATCH($S74&amp;$J74,SorP!C:C,0))))</f>
        <v>CN-FJ</v>
      </c>
      <c r="U74" s="201"/>
      <c r="V74" s="226">
        <f>IF(C74="",NA(),IF(OR(C74="Smelter not listed",C74="Smelter not yet identified"),MATCH($B74&amp;$D74,'Smelter Look-up'!$J:$J,0),MATCH($B74&amp;$C74,'Smelter Look-up'!$J:$J,0)))</f>
        <v>95</v>
      </c>
      <c r="X74" s="227">
        <f t="shared" si="12"/>
        <v>0</v>
      </c>
      <c r="AB74" s="228" t="str">
        <f t="shared" si="13"/>
        <v>GoldGold Refinery of Zijin Mining Group Co., Ltd.</v>
      </c>
    </row>
    <row r="75" spans="1:28" s="227" customFormat="1" ht="108">
      <c r="A75" s="181"/>
      <c r="B75" s="182" t="s">
        <v>1098</v>
      </c>
      <c r="C75" s="186" t="s">
        <v>1291</v>
      </c>
      <c r="D75" s="230" t="s">
        <v>1291</v>
      </c>
      <c r="E75" s="182" t="s">
        <v>1069</v>
      </c>
      <c r="F75" s="182" t="s">
        <v>726</v>
      </c>
      <c r="G75" s="182" t="s">
        <v>13177</v>
      </c>
      <c r="H75" s="183" t="s">
        <v>15981</v>
      </c>
      <c r="I75" s="184" t="s">
        <v>1652</v>
      </c>
      <c r="J75" s="184" t="s">
        <v>13533</v>
      </c>
      <c r="K75" s="224"/>
      <c r="L75" s="224"/>
      <c r="M75" s="224"/>
      <c r="N75" s="224" t="s">
        <v>15928</v>
      </c>
      <c r="O75" s="224" t="s">
        <v>15982</v>
      </c>
      <c r="P75" s="185"/>
      <c r="Q75" s="225" t="s">
        <v>15840</v>
      </c>
      <c r="R75" s="182" t="str">
        <f ca="1">IF(ISERROR($V75),"",OFFSET('Smelter Look-up'!$C$4,$V75-4,0)&amp;"")</f>
        <v>Zhongyuan Gold Smelter of Zhongjin Gold Corporation</v>
      </c>
      <c r="S75" s="181" t="str">
        <f t="shared" ca="1" si="11"/>
        <v>CN</v>
      </c>
      <c r="T75" s="181" t="str">
        <f ca="1">IF(B75="","",IF(ISERROR(MATCH($J75,SorP!$B$1:$B$6226,0)),"",INDIRECT("'SorP'!$A$"&amp;MATCH($S75&amp;$J75,SorP!C:C,0))))</f>
        <v>CN-HA</v>
      </c>
      <c r="U75" s="201"/>
      <c r="V75" s="226">
        <f>IF(C75="",NA(),IF(OR(C75="Smelter not listed",C75="Smelter not yet identified"),MATCH($B75&amp;$D75,'Smelter Look-up'!$J:$J,0),MATCH($B75&amp;$C75,'Smelter Look-up'!$J:$J,0)))</f>
        <v>326</v>
      </c>
      <c r="X75" s="227">
        <f t="shared" si="12"/>
        <v>0</v>
      </c>
      <c r="AB75" s="228" t="str">
        <f t="shared" si="13"/>
        <v>GoldZhongyuan Gold Smelter of Zhongjin Gold Corporation</v>
      </c>
    </row>
    <row r="76" spans="1:28" s="227" customFormat="1" ht="54">
      <c r="A76" s="181"/>
      <c r="B76" s="182" t="s">
        <v>1098</v>
      </c>
      <c r="C76" s="186" t="s">
        <v>2119</v>
      </c>
      <c r="D76" s="230" t="s">
        <v>2119</v>
      </c>
      <c r="E76" s="182" t="s">
        <v>1077</v>
      </c>
      <c r="F76" s="182" t="s">
        <v>724</v>
      </c>
      <c r="G76" s="182" t="s">
        <v>13177</v>
      </c>
      <c r="H76" s="183" t="s">
        <v>15983</v>
      </c>
      <c r="I76" s="184" t="s">
        <v>1651</v>
      </c>
      <c r="J76" s="184" t="s">
        <v>1630</v>
      </c>
      <c r="K76" s="224"/>
      <c r="L76" s="224"/>
      <c r="M76" s="224"/>
      <c r="N76" s="224" t="s">
        <v>15861</v>
      </c>
      <c r="O76" s="224" t="s">
        <v>15984</v>
      </c>
      <c r="P76" s="185"/>
      <c r="Q76" s="225" t="s">
        <v>15840</v>
      </c>
      <c r="R76" s="182" t="str">
        <f ca="1">IF(ISERROR($V76),"",OFFSET('Smelter Look-up'!$C$4,$V76-4,0)&amp;"")</f>
        <v>Yokohama Metal Co., Ltd.</v>
      </c>
      <c r="S76" s="181" t="str">
        <f t="shared" ca="1" si="11"/>
        <v>JP</v>
      </c>
      <c r="T76" s="181" t="str">
        <f ca="1">IF(B76="","",IF(ISERROR(MATCH($J76,SorP!$B$1:$B$6226,0)),"",INDIRECT("'SorP'!$A$"&amp;MATCH($S76&amp;$J76,SorP!C:C,0))))</f>
        <v>JP-14</v>
      </c>
      <c r="U76" s="201"/>
      <c r="V76" s="226">
        <f>IF(C76="",NA(),IF(OR(C76="Smelter not listed",C76="Smelter not yet identified"),MATCH($B76&amp;$D76,'Smelter Look-up'!$J:$J,0),MATCH($B76&amp;$C76,'Smelter Look-up'!$J:$J,0)))</f>
        <v>316</v>
      </c>
      <c r="X76" s="227">
        <f t="shared" si="12"/>
        <v>0</v>
      </c>
      <c r="AB76" s="228" t="str">
        <f t="shared" si="13"/>
        <v>GoldYokohama Metal Co., Ltd.</v>
      </c>
    </row>
    <row r="77" spans="1:28" s="227" customFormat="1" ht="135">
      <c r="A77" s="181"/>
      <c r="B77" s="182" t="s">
        <v>1098</v>
      </c>
      <c r="C77" s="186" t="s">
        <v>12873</v>
      </c>
      <c r="D77" s="230" t="s">
        <v>12873</v>
      </c>
      <c r="E77" s="182" t="s">
        <v>1077</v>
      </c>
      <c r="F77" s="182" t="s">
        <v>723</v>
      </c>
      <c r="G77" s="182" t="s">
        <v>13177</v>
      </c>
      <c r="H77" s="183" t="s">
        <v>15985</v>
      </c>
      <c r="I77" s="184" t="s">
        <v>12886</v>
      </c>
      <c r="J77" s="184" t="s">
        <v>6574</v>
      </c>
      <c r="K77" s="224"/>
      <c r="L77" s="224"/>
      <c r="M77" s="224"/>
      <c r="N77" s="224" t="s">
        <v>15957</v>
      </c>
      <c r="O77" s="224" t="s">
        <v>15986</v>
      </c>
      <c r="P77" s="185"/>
      <c r="Q77" s="225" t="s">
        <v>15840</v>
      </c>
      <c r="R77" s="182" t="str">
        <f ca="1">IF(ISERROR($V77),"",OFFSET('Smelter Look-up'!$C$4,$V77-4,0)&amp;"")</f>
        <v>Yamakin Co., Ltd.</v>
      </c>
      <c r="S77" s="181" t="str">
        <f t="shared" ca="1" si="11"/>
        <v>JP</v>
      </c>
      <c r="T77" s="181" t="str">
        <f ca="1">IF(B77="","",IF(ISERROR(MATCH($J77,SorP!$B$1:$B$6226,0)),"",INDIRECT("'SorP'!$A$"&amp;MATCH($S77&amp;$J77,SorP!C:C,0))))</f>
        <v>JP-39</v>
      </c>
      <c r="U77" s="201"/>
      <c r="V77" s="226">
        <f>IF(C77="",NA(),IF(OR(C77="Smelter not listed",C77="Smelter not yet identified"),MATCH($B77&amp;$D77,'Smelter Look-up'!$J:$J,0),MATCH($B77&amp;$C77,'Smelter Look-up'!$J:$J,0)))</f>
        <v>310</v>
      </c>
      <c r="X77" s="227">
        <f t="shared" si="12"/>
        <v>0</v>
      </c>
      <c r="AB77" s="228" t="str">
        <f t="shared" si="13"/>
        <v>GoldYamakin Co., Ltd.</v>
      </c>
    </row>
    <row r="78" spans="1:28" s="227" customFormat="1" ht="81">
      <c r="A78" s="181"/>
      <c r="B78" s="182" t="s">
        <v>1098</v>
      </c>
      <c r="C78" s="186" t="s">
        <v>2440</v>
      </c>
      <c r="D78" s="230" t="s">
        <v>2440</v>
      </c>
      <c r="E78" s="182" t="s">
        <v>1062</v>
      </c>
      <c r="F78" s="182" t="s">
        <v>722</v>
      </c>
      <c r="G78" s="182" t="s">
        <v>13177</v>
      </c>
      <c r="H78" s="183" t="s">
        <v>15987</v>
      </c>
      <c r="I78" s="184" t="s">
        <v>1645</v>
      </c>
      <c r="J78" s="184" t="s">
        <v>1646</v>
      </c>
      <c r="K78" s="224"/>
      <c r="L78" s="224"/>
      <c r="M78" s="224"/>
      <c r="N78" s="224" t="s">
        <v>15988</v>
      </c>
      <c r="O78" s="224" t="s">
        <v>15989</v>
      </c>
      <c r="P78" s="185"/>
      <c r="Q78" s="225" t="s">
        <v>15840</v>
      </c>
      <c r="R78" s="182" t="str">
        <f ca="1">IF(ISERROR($V78),"",OFFSET('Smelter Look-up'!$C$4,$V78-4,0)&amp;"")</f>
        <v>Western Australian Mint (T/a The Perth Mint)</v>
      </c>
      <c r="S78" s="181" t="str">
        <f t="shared" ca="1" si="11"/>
        <v>AU</v>
      </c>
      <c r="T78" s="181" t="str">
        <f ca="1">IF(B78="","",IF(ISERROR(MATCH($J78,SorP!$B$1:$B$6226,0)),"",INDIRECT("'SorP'!$A$"&amp;MATCH($S78&amp;$J78,SorP!C:C,0))))</f>
        <v>AU-WA</v>
      </c>
      <c r="U78" s="201"/>
      <c r="V78" s="226">
        <f>IF(C78="",NA(),IF(OR(C78="Smelter not listed",C78="Smelter not yet identified"),MATCH($B78&amp;$D78,'Smelter Look-up'!$J:$J,0),MATCH($B78&amp;$C78,'Smelter Look-up'!$J:$J,0)))</f>
        <v>306</v>
      </c>
      <c r="X78" s="227">
        <f t="shared" si="12"/>
        <v>0</v>
      </c>
      <c r="AB78" s="228" t="str">
        <f t="shared" si="13"/>
        <v>GoldWestern Australian Mint (T/a The Perth Mint)</v>
      </c>
    </row>
    <row r="79" spans="1:28" s="227" customFormat="1" ht="67.5">
      <c r="A79" s="181"/>
      <c r="B79" s="182" t="s">
        <v>1098</v>
      </c>
      <c r="C79" s="186" t="s">
        <v>2285</v>
      </c>
      <c r="D79" s="230" t="s">
        <v>2285</v>
      </c>
      <c r="E79" s="182" t="s">
        <v>1067</v>
      </c>
      <c r="F79" s="182" t="s">
        <v>721</v>
      </c>
      <c r="G79" s="182" t="s">
        <v>13177</v>
      </c>
      <c r="H79" s="183" t="s">
        <v>15990</v>
      </c>
      <c r="I79" s="184" t="s">
        <v>1644</v>
      </c>
      <c r="J79" s="184" t="s">
        <v>1517</v>
      </c>
      <c r="K79" s="224"/>
      <c r="L79" s="224"/>
      <c r="M79" s="224"/>
      <c r="N79" s="224" t="s">
        <v>15916</v>
      </c>
      <c r="O79" s="224" t="s">
        <v>15991</v>
      </c>
      <c r="P79" s="185"/>
      <c r="Q79" s="225" t="s">
        <v>15840</v>
      </c>
      <c r="R79" s="182" t="str">
        <f ca="1">IF(ISERROR($V79),"",OFFSET('Smelter Look-up'!$C$4,$V79-4,0)&amp;"")</f>
        <v>Valcambi S.A.</v>
      </c>
      <c r="S79" s="181" t="str">
        <f t="shared" ca="1" si="11"/>
        <v>CH</v>
      </c>
      <c r="T79" s="181" t="str">
        <f ca="1">IF(B79="","",IF(ISERROR(MATCH($J79,SorP!$B$1:$B$6226,0)),"",INDIRECT("'SorP'!$A$"&amp;MATCH($S79&amp;$J79,SorP!C:C,0))))</f>
        <v>CH-TI</v>
      </c>
      <c r="U79" s="201"/>
      <c r="V79" s="226">
        <f>IF(C79="",NA(),IF(OR(C79="Smelter not listed",C79="Smelter not yet identified"),MATCH($B79&amp;$D79,'Smelter Look-up'!$J:$J,0),MATCH($B79&amp;$C79,'Smelter Look-up'!$J:$J,0)))</f>
        <v>304</v>
      </c>
      <c r="X79" s="227">
        <f t="shared" si="12"/>
        <v>0</v>
      </c>
      <c r="AB79" s="228" t="str">
        <f t="shared" si="13"/>
        <v>GoldValcambi S.A.</v>
      </c>
    </row>
    <row r="80" spans="1:28" s="227" customFormat="1" ht="108">
      <c r="A80" s="181"/>
      <c r="B80" s="182" t="s">
        <v>1098</v>
      </c>
      <c r="C80" s="186" t="s">
        <v>792</v>
      </c>
      <c r="D80" s="230" t="s">
        <v>792</v>
      </c>
      <c r="E80" s="182" t="s">
        <v>2384</v>
      </c>
      <c r="F80" s="182" t="s">
        <v>720</v>
      </c>
      <c r="G80" s="182" t="s">
        <v>13177</v>
      </c>
      <c r="H80" s="183" t="s">
        <v>15992</v>
      </c>
      <c r="I80" s="184" t="s">
        <v>1643</v>
      </c>
      <c r="J80" s="184" t="s">
        <v>1583</v>
      </c>
      <c r="K80" s="224"/>
      <c r="L80" s="224"/>
      <c r="M80" s="224"/>
      <c r="N80" s="224" t="s">
        <v>15993</v>
      </c>
      <c r="O80" s="224" t="s">
        <v>15994</v>
      </c>
      <c r="P80" s="185"/>
      <c r="Q80" s="225" t="s">
        <v>15840</v>
      </c>
      <c r="R80" s="182" t="str">
        <f ca="1">IF(ISERROR($V80),"",OFFSET('Smelter Look-up'!$C$4,$V80-4,0)&amp;"")</f>
        <v>United Precious Metal Refining, Inc.</v>
      </c>
      <c r="S80" s="181" t="str">
        <f t="shared" ca="1" si="11"/>
        <v>US</v>
      </c>
      <c r="T80" s="181" t="str">
        <f ca="1">IF(B80="","",IF(ISERROR(MATCH($J80,SorP!$B$1:$B$6226,0)),"",INDIRECT("'SorP'!$A$"&amp;MATCH($S80&amp;$J80,SorP!C:C,0))))</f>
        <v>US-NY</v>
      </c>
      <c r="U80" s="201"/>
      <c r="V80" s="226">
        <f>IF(C80="",NA(),IF(OR(C80="Smelter not listed",C80="Smelter not yet identified"),MATCH($B80&amp;$D80,'Smelter Look-up'!$J:$J,0),MATCH($B80&amp;$C80,'Smelter Look-up'!$J:$J,0)))</f>
        <v>303</v>
      </c>
      <c r="X80" s="227">
        <f t="shared" si="12"/>
        <v>0</v>
      </c>
      <c r="AB80" s="228" t="str">
        <f t="shared" si="13"/>
        <v>GoldUnited Precious Metal Refining, Inc.</v>
      </c>
    </row>
    <row r="81" spans="1:28" s="227" customFormat="1" ht="54">
      <c r="A81" s="181"/>
      <c r="B81" s="182" t="s">
        <v>1098</v>
      </c>
      <c r="C81" s="186" t="s">
        <v>2283</v>
      </c>
      <c r="D81" s="230" t="s">
        <v>2283</v>
      </c>
      <c r="E81" s="182" t="s">
        <v>1064</v>
      </c>
      <c r="F81" s="182" t="s">
        <v>719</v>
      </c>
      <c r="G81" s="182" t="s">
        <v>13177</v>
      </c>
      <c r="H81" s="183" t="s">
        <v>15995</v>
      </c>
      <c r="I81" s="184" t="s">
        <v>1641</v>
      </c>
      <c r="J81" s="184" t="s">
        <v>3104</v>
      </c>
      <c r="K81" s="224"/>
      <c r="L81" s="224"/>
      <c r="M81" s="224"/>
      <c r="N81" s="224" t="s">
        <v>15996</v>
      </c>
      <c r="O81" s="224" t="s">
        <v>15997</v>
      </c>
      <c r="P81" s="185"/>
      <c r="Q81" s="225" t="s">
        <v>15840</v>
      </c>
      <c r="R81" s="182" t="str">
        <f ca="1">IF(ISERROR($V81),"",OFFSET('Smelter Look-up'!$C$4,$V81-4,0)&amp;"")</f>
        <v>Umicore S.A. Business Unit Precious Metals Refining</v>
      </c>
      <c r="S81" s="181" t="str">
        <f t="shared" ca="1" si="11"/>
        <v>BE</v>
      </c>
      <c r="T81" s="181" t="str">
        <f ca="1">IF(B81="","",IF(ISERROR(MATCH($J81,SorP!$B$1:$B$6226,0)),"",INDIRECT("'SorP'!$A$"&amp;MATCH($S81&amp;$J81,SorP!C:C,0))))</f>
        <v>BE-VAN</v>
      </c>
      <c r="U81" s="201"/>
      <c r="V81" s="226">
        <f>IF(C81="",NA(),IF(OR(C81="Smelter not listed",C81="Smelter not yet identified"),MATCH($B81&amp;$D81,'Smelter Look-up'!$J:$J,0),MATCH($B81&amp;$C81,'Smelter Look-up'!$J:$J,0)))</f>
        <v>302</v>
      </c>
      <c r="X81" s="227">
        <f t="shared" si="12"/>
        <v>0</v>
      </c>
      <c r="AB81" s="228" t="str">
        <f t="shared" si="13"/>
        <v>GoldUmicore S.A. Business Unit Precious Metals Refining</v>
      </c>
    </row>
    <row r="82" spans="1:28" s="227" customFormat="1" ht="81">
      <c r="A82" s="181"/>
      <c r="B82" s="182" t="s">
        <v>1098</v>
      </c>
      <c r="C82" s="186" t="s">
        <v>593</v>
      </c>
      <c r="D82" s="230" t="s">
        <v>593</v>
      </c>
      <c r="E82" s="182" t="s">
        <v>1080</v>
      </c>
      <c r="F82" s="182" t="s">
        <v>718</v>
      </c>
      <c r="G82" s="182" t="s">
        <v>13177</v>
      </c>
      <c r="H82" s="183" t="s">
        <v>15998</v>
      </c>
      <c r="I82" s="184" t="s">
        <v>1639</v>
      </c>
      <c r="J82" s="184" t="s">
        <v>12816</v>
      </c>
      <c r="K82" s="224"/>
      <c r="L82" s="224"/>
      <c r="M82" s="224"/>
      <c r="N82" s="224" t="s">
        <v>15876</v>
      </c>
      <c r="O82" s="224" t="s">
        <v>15999</v>
      </c>
      <c r="P82" s="185"/>
      <c r="Q82" s="225" t="s">
        <v>15840</v>
      </c>
      <c r="R82" s="182" t="str">
        <f ca="1">IF(ISERROR($V82),"",OFFSET('Smelter Look-up'!$C$4,$V82-4,0)&amp;"")</f>
        <v>Torecom</v>
      </c>
      <c r="S82" s="181" t="str">
        <f t="shared" ca="1" si="11"/>
        <v>KR</v>
      </c>
      <c r="T82" s="181" t="str">
        <f ca="1">IF(B82="","",IF(ISERROR(MATCH($J82,SorP!$B$1:$B$6226,0)),"",INDIRECT("'SorP'!$A$"&amp;MATCH($S82&amp;$J82,SorP!C:C,0))))</f>
        <v>KR-44</v>
      </c>
      <c r="U82" s="201"/>
      <c r="V82" s="226">
        <f>IF(C82="",NA(),IF(OR(C82="Smelter not listed",C82="Smelter not yet identified"),MATCH($B82&amp;$D82,'Smelter Look-up'!$J:$J,0),MATCH($B82&amp;$C82,'Smelter Look-up'!$J:$J,0)))</f>
        <v>298</v>
      </c>
      <c r="X82" s="227">
        <f t="shared" si="12"/>
        <v>0</v>
      </c>
      <c r="AB82" s="228" t="str">
        <f t="shared" si="13"/>
        <v>GoldTorecom</v>
      </c>
    </row>
    <row r="83" spans="1:28" s="227" customFormat="1" ht="40.5">
      <c r="A83" s="181"/>
      <c r="B83" s="182" t="s">
        <v>1098</v>
      </c>
      <c r="C83" s="186" t="s">
        <v>2150</v>
      </c>
      <c r="D83" s="230" t="s">
        <v>2150</v>
      </c>
      <c r="E83" s="182" t="s">
        <v>1069</v>
      </c>
      <c r="F83" s="182" t="s">
        <v>717</v>
      </c>
      <c r="G83" s="182" t="s">
        <v>13177</v>
      </c>
      <c r="H83" s="183" t="s">
        <v>16000</v>
      </c>
      <c r="I83" s="184" t="s">
        <v>1636</v>
      </c>
      <c r="J83" s="184" t="s">
        <v>13529</v>
      </c>
      <c r="K83" s="224"/>
      <c r="L83" s="224"/>
      <c r="M83" s="224"/>
      <c r="N83" s="224">
        <v>-2146826246</v>
      </c>
      <c r="O83" s="224" t="s">
        <v>16001</v>
      </c>
      <c r="P83" s="185"/>
      <c r="Q83" s="225"/>
      <c r="R83" s="182" t="str">
        <f ca="1">IF(ISERROR($V83),"",OFFSET('Smelter Look-up'!$C$4,$V83-4,0)&amp;"")</f>
        <v>Tongling Nonferrous Metals Group Co., Ltd.</v>
      </c>
      <c r="S83" s="181" t="str">
        <f t="shared" ca="1" si="11"/>
        <v>CN</v>
      </c>
      <c r="T83" s="181" t="str">
        <f ca="1">IF(B83="","",IF(ISERROR(MATCH($J83,SorP!$B$1:$B$6226,0)),"",INDIRECT("'SorP'!$A$"&amp;MATCH($S83&amp;$J83,SorP!C:C,0))))</f>
        <v>CN-AH</v>
      </c>
      <c r="U83" s="201"/>
      <c r="V83" s="226">
        <f>IF(C83="",NA(),IF(OR(C83="Smelter not listed",C83="Smelter not yet identified"),MATCH($B83&amp;$D83,'Smelter Look-up'!$J:$J,0),MATCH($B83&amp;$C83,'Smelter Look-up'!$J:$J,0)))</f>
        <v>294</v>
      </c>
      <c r="X83" s="227">
        <f t="shared" si="12"/>
        <v>0</v>
      </c>
      <c r="AB83" s="228" t="str">
        <f t="shared" si="13"/>
        <v>GoldTongling Nonferrous Metals Group Co., Ltd.</v>
      </c>
    </row>
    <row r="84" spans="1:28" s="227" customFormat="1" ht="81">
      <c r="A84" s="181"/>
      <c r="B84" s="182" t="s">
        <v>1098</v>
      </c>
      <c r="C84" s="186" t="s">
        <v>2117</v>
      </c>
      <c r="D84" s="230" t="s">
        <v>2117</v>
      </c>
      <c r="E84" s="182" t="s">
        <v>1077</v>
      </c>
      <c r="F84" s="182" t="s">
        <v>716</v>
      </c>
      <c r="G84" s="182" t="s">
        <v>13177</v>
      </c>
      <c r="H84" s="183" t="s">
        <v>16002</v>
      </c>
      <c r="I84" s="184" t="s">
        <v>1635</v>
      </c>
      <c r="J84" s="184" t="s">
        <v>1547</v>
      </c>
      <c r="K84" s="224"/>
      <c r="L84" s="224"/>
      <c r="M84" s="224"/>
      <c r="N84" s="224" t="s">
        <v>15988</v>
      </c>
      <c r="O84" s="224" t="s">
        <v>16003</v>
      </c>
      <c r="P84" s="185"/>
      <c r="Q84" s="225" t="s">
        <v>15840</v>
      </c>
      <c r="R84" s="182" t="str">
        <f ca="1">IF(ISERROR($V84),"",OFFSET('Smelter Look-up'!$C$4,$V84-4,0)&amp;"")</f>
        <v>Tokuriki Honten Co., Ltd.</v>
      </c>
      <c r="S84" s="181" t="str">
        <f t="shared" ca="1" si="11"/>
        <v>JP</v>
      </c>
      <c r="T84" s="181" t="str">
        <f ca="1">IF(B84="","",IF(ISERROR(MATCH($J84,SorP!$B$1:$B$6226,0)),"",INDIRECT("'SorP'!$A$"&amp;MATCH($S84&amp;$J84,SorP!C:C,0))))</f>
        <v>JP-11</v>
      </c>
      <c r="U84" s="201"/>
      <c r="V84" s="226">
        <f>IF(C84="",NA(),IF(OR(C84="Smelter not listed",C84="Smelter not yet identified"),MATCH($B84&amp;$D84,'Smelter Look-up'!$J:$J,0),MATCH($B84&amp;$C84,'Smelter Look-up'!$J:$J,0)))</f>
        <v>293</v>
      </c>
      <c r="X84" s="227">
        <f t="shared" si="12"/>
        <v>0</v>
      </c>
      <c r="AB84" s="228" t="str">
        <f t="shared" si="13"/>
        <v>GoldTokuriki Honten Co., Ltd.</v>
      </c>
    </row>
    <row r="85" spans="1:28" s="227" customFormat="1" ht="67.5">
      <c r="A85" s="181"/>
      <c r="B85" s="182" t="s">
        <v>1098</v>
      </c>
      <c r="C85" s="186" t="s">
        <v>16004</v>
      </c>
      <c r="D85" s="230" t="s">
        <v>16004</v>
      </c>
      <c r="E85" s="182" t="s">
        <v>1069</v>
      </c>
      <c r="F85" s="182" t="s">
        <v>715</v>
      </c>
      <c r="G85" s="182" t="s">
        <v>13177</v>
      </c>
      <c r="H85" s="183" t="s">
        <v>16005</v>
      </c>
      <c r="I85" s="184" t="s">
        <v>1621</v>
      </c>
      <c r="J85" s="184" t="s">
        <v>13532</v>
      </c>
      <c r="K85" s="224"/>
      <c r="L85" s="224"/>
      <c r="M85" s="224"/>
      <c r="N85" s="224" t="s">
        <v>15928</v>
      </c>
      <c r="O85" s="224" t="s">
        <v>16006</v>
      </c>
      <c r="P85" s="185"/>
      <c r="Q85" s="225" t="s">
        <v>15840</v>
      </c>
      <c r="R85" s="182" t="str">
        <f ca="1">IF(ISERROR($V85),"",OFFSET('Smelter Look-up'!$C$4,$V85-4,0)&amp;"")</f>
        <v>Shandong Gold Smelting Co., Ltd.</v>
      </c>
      <c r="S85" s="181" t="str">
        <f t="shared" ca="1" si="11"/>
        <v>CN</v>
      </c>
      <c r="T85" s="181" t="str">
        <f ca="1">IF(B85="","",IF(ISERROR(MATCH($J85,SorP!$B$1:$B$6226,0)),"",INDIRECT("'SorP'!$A$"&amp;MATCH($S85&amp;$J85,SorP!C:C,0))))</f>
        <v>CN-SD</v>
      </c>
      <c r="U85" s="201"/>
      <c r="V85" s="226">
        <f>IF(C85="",NA(),IF(OR(C85="Smelter not listed",C85="Smelter not yet identified"),MATCH($B85&amp;$D85,'Smelter Look-up'!$J:$J,0),MATCH($B85&amp;$C85,'Smelter Look-up'!$J:$J,0)))</f>
        <v>247</v>
      </c>
      <c r="X85" s="227">
        <f t="shared" si="12"/>
        <v>0</v>
      </c>
      <c r="AB85" s="228" t="str">
        <f t="shared" si="13"/>
        <v>GoldShandong gold smelting Co., Ltd.</v>
      </c>
    </row>
    <row r="86" spans="1:28" s="227" customFormat="1" ht="54">
      <c r="A86" s="181"/>
      <c r="B86" s="182" t="s">
        <v>1098</v>
      </c>
      <c r="C86" s="186" t="s">
        <v>2169</v>
      </c>
      <c r="D86" s="230" t="s">
        <v>2169</v>
      </c>
      <c r="E86" s="182" t="s">
        <v>1069</v>
      </c>
      <c r="F86" s="182" t="s">
        <v>714</v>
      </c>
      <c r="G86" s="182" t="s">
        <v>13177</v>
      </c>
      <c r="H86" s="183" t="s">
        <v>16007</v>
      </c>
      <c r="I86" s="184" t="s">
        <v>1625</v>
      </c>
      <c r="J86" s="184" t="s">
        <v>13538</v>
      </c>
      <c r="K86" s="224"/>
      <c r="L86" s="224"/>
      <c r="M86" s="224"/>
      <c r="N86" s="224">
        <v>-2146826246</v>
      </c>
      <c r="O86" s="224" t="s">
        <v>16008</v>
      </c>
      <c r="P86" s="185"/>
      <c r="Q86" s="225" t="s">
        <v>15840</v>
      </c>
      <c r="R86" s="182" t="str">
        <f ca="1">IF(ISERROR($V86),"",OFFSET('Smelter Look-up'!$C$4,$V86-4,0)&amp;"")</f>
        <v>Great Wall Precious Metals Co., Ltd. of CBPM</v>
      </c>
      <c r="S86" s="181" t="str">
        <f t="shared" ca="1" si="11"/>
        <v>CN</v>
      </c>
      <c r="T86" s="181" t="str">
        <f ca="1">IF(B86="","",IF(ISERROR(MATCH($J86,SorP!$B$1:$B$6226,0)),"",INDIRECT("'SorP'!$A$"&amp;MATCH($S86&amp;$J86,SorP!C:C,0))))</f>
        <v>CN-SC</v>
      </c>
      <c r="U86" s="201"/>
      <c r="V86" s="226">
        <f>IF(C86="",NA(),IF(OR(C86="Smelter not listed",C86="Smelter not yet identified"),MATCH($B86&amp;$D86,'Smelter Look-up'!$J:$J,0),MATCH($B86&amp;$C86,'Smelter Look-up'!$J:$J,0)))</f>
        <v>97</v>
      </c>
      <c r="X86" s="227">
        <f t="shared" si="12"/>
        <v>0</v>
      </c>
      <c r="AB86" s="228" t="str">
        <f t="shared" si="13"/>
        <v>GoldGreat Wall Precious Metals Co., Ltd. of CBPM</v>
      </c>
    </row>
    <row r="87" spans="1:28" s="227" customFormat="1" ht="162">
      <c r="A87" s="181"/>
      <c r="B87" s="182" t="s">
        <v>1098</v>
      </c>
      <c r="C87" s="186" t="s">
        <v>1199</v>
      </c>
      <c r="D87" s="230" t="s">
        <v>1199</v>
      </c>
      <c r="E87" s="182" t="s">
        <v>1077</v>
      </c>
      <c r="F87" s="182" t="s">
        <v>713</v>
      </c>
      <c r="G87" s="182" t="s">
        <v>13177</v>
      </c>
      <c r="H87" s="183" t="s">
        <v>16009</v>
      </c>
      <c r="I87" s="184" t="s">
        <v>1629</v>
      </c>
      <c r="J87" s="184" t="s">
        <v>1630</v>
      </c>
      <c r="K87" s="224"/>
      <c r="L87" s="224"/>
      <c r="M87" s="224"/>
      <c r="N87" s="224" t="s">
        <v>15988</v>
      </c>
      <c r="O87" s="224" t="s">
        <v>16010</v>
      </c>
      <c r="P87" s="185"/>
      <c r="Q87" s="225" t="s">
        <v>15840</v>
      </c>
      <c r="R87" s="182" t="str">
        <f ca="1">IF(ISERROR($V87),"",OFFSET('Smelter Look-up'!$C$4,$V87-4,0)&amp;"")</f>
        <v>Tanaka Kikinzoku Kogyo K.K.</v>
      </c>
      <c r="S87" s="181" t="str">
        <f t="shared" ca="1" si="11"/>
        <v>JP</v>
      </c>
      <c r="T87" s="181" t="str">
        <f ca="1">IF(B87="","",IF(ISERROR(MATCH($J87,SorP!$B$1:$B$6226,0)),"",INDIRECT("'SorP'!$A$"&amp;MATCH($S87&amp;$J87,SorP!C:C,0))))</f>
        <v>JP-14</v>
      </c>
      <c r="U87" s="201"/>
      <c r="V87" s="226">
        <f>IF(C87="",NA(),IF(OR(C87="Smelter not listed",C87="Smelter not yet identified"),MATCH($B87&amp;$D87,'Smelter Look-up'!$J:$J,0),MATCH($B87&amp;$C87,'Smelter Look-up'!$J:$J,0)))</f>
        <v>287</v>
      </c>
      <c r="X87" s="227">
        <f t="shared" si="12"/>
        <v>0</v>
      </c>
      <c r="AB87" s="228" t="str">
        <f t="shared" si="13"/>
        <v>GoldTanaka Kikinzoku Kogyo K.K.</v>
      </c>
    </row>
    <row r="88" spans="1:28" s="227" customFormat="1" ht="27">
      <c r="A88" s="181"/>
      <c r="B88" s="182" t="s">
        <v>1098</v>
      </c>
      <c r="C88" s="186" t="s">
        <v>15293</v>
      </c>
      <c r="D88" s="230" t="s">
        <v>15293</v>
      </c>
      <c r="E88" s="182" t="s">
        <v>2383</v>
      </c>
      <c r="F88" s="182" t="s">
        <v>15294</v>
      </c>
      <c r="G88" s="182" t="s">
        <v>13177</v>
      </c>
      <c r="H88" s="183" t="s">
        <v>16011</v>
      </c>
      <c r="I88" s="184" t="s">
        <v>1665</v>
      </c>
      <c r="J88" s="184" t="s">
        <v>1665</v>
      </c>
      <c r="K88" s="224"/>
      <c r="L88" s="224"/>
      <c r="M88" s="224"/>
      <c r="N88" s="224">
        <v>-2146826246</v>
      </c>
      <c r="O88" s="224">
        <v>-2146826246</v>
      </c>
      <c r="P88" s="185"/>
      <c r="Q88" s="225"/>
      <c r="R88" s="182" t="str">
        <f ca="1">IF(ISERROR($V88),"",OFFSET('Smelter Look-up'!$C$4,$V88-4,0)&amp;"")</f>
        <v>Super Dragon Technology Co., Ltd.</v>
      </c>
      <c r="S88" s="181" t="str">
        <f t="shared" ca="1" si="11"/>
        <v>TW</v>
      </c>
      <c r="T88" s="181" t="str">
        <f ca="1">IF(B88="","",IF(ISERROR(MATCH($J88,SorP!$B$1:$B$6226,0)),"",INDIRECT("'SorP'!$A$"&amp;MATCH($S88&amp;$J88,SorP!C:C,0))))</f>
        <v>TW-TAO</v>
      </c>
      <c r="U88" s="201"/>
      <c r="V88" s="226">
        <f>IF(C88="",NA(),IF(OR(C88="Smelter not listed",C88="Smelter not yet identified"),MATCH($B88&amp;$D88,'Smelter Look-up'!$J:$J,0),MATCH($B88&amp;$C88,'Smelter Look-up'!$J:$J,0)))</f>
        <v>277</v>
      </c>
      <c r="X88" s="227">
        <f t="shared" si="12"/>
        <v>0</v>
      </c>
      <c r="AB88" s="228" t="str">
        <f t="shared" si="13"/>
        <v>GoldSuper Dragon Technology Co., Ltd.</v>
      </c>
    </row>
    <row r="89" spans="1:28" s="227" customFormat="1" ht="148.5">
      <c r="A89" s="181"/>
      <c r="B89" s="182" t="s">
        <v>1098</v>
      </c>
      <c r="C89" s="186" t="s">
        <v>54</v>
      </c>
      <c r="D89" s="230" t="s">
        <v>54</v>
      </c>
      <c r="E89" s="182" t="s">
        <v>1077</v>
      </c>
      <c r="F89" s="182" t="s">
        <v>712</v>
      </c>
      <c r="G89" s="182" t="s">
        <v>13177</v>
      </c>
      <c r="H89" s="183" t="s">
        <v>16012</v>
      </c>
      <c r="I89" s="184" t="s">
        <v>1628</v>
      </c>
      <c r="J89" s="184" t="s">
        <v>16013</v>
      </c>
      <c r="K89" s="224"/>
      <c r="L89" s="224"/>
      <c r="M89" s="224"/>
      <c r="N89" s="224" t="s">
        <v>15988</v>
      </c>
      <c r="O89" s="224" t="s">
        <v>16014</v>
      </c>
      <c r="P89" s="185"/>
      <c r="Q89" s="225" t="s">
        <v>15840</v>
      </c>
      <c r="R89" s="182" t="str">
        <f ca="1">IF(ISERROR($V89),"",OFFSET('Smelter Look-up'!$C$4,$V89-4,0)&amp;"")</f>
        <v>Sumitomo Metal Mining Co., Ltd.</v>
      </c>
      <c r="S89" s="181" t="str">
        <f t="shared" ca="1" si="11"/>
        <v>JP</v>
      </c>
      <c r="T89" s="181" t="str">
        <f ca="1">IF(B89="","",IF(ISERROR(MATCH($J89,SorP!$B$1:$B$6226,0)),"",INDIRECT("'SorP'!$A$"&amp;MATCH($S89&amp;$J89,SorP!C:C,0))))</f>
        <v/>
      </c>
      <c r="U89" s="201"/>
      <c r="V89" s="226">
        <f>IF(C89="",NA(),IF(OR(C89="Smelter not listed",C89="Smelter not yet identified"),MATCH($B89&amp;$D89,'Smelter Look-up'!$J:$J,0),MATCH($B89&amp;$C89,'Smelter Look-up'!$J:$J,0)))</f>
        <v>274</v>
      </c>
      <c r="X89" s="227">
        <f t="shared" si="12"/>
        <v>0</v>
      </c>
      <c r="AB89" s="228" t="str">
        <f t="shared" si="13"/>
        <v>GoldSumitomo Metal Mining Co., Ltd.</v>
      </c>
    </row>
    <row r="90" spans="1:28" s="227" customFormat="1" ht="202.5">
      <c r="A90" s="181"/>
      <c r="B90" s="182" t="s">
        <v>1098</v>
      </c>
      <c r="C90" s="186" t="s">
        <v>886</v>
      </c>
      <c r="D90" s="230" t="s">
        <v>886</v>
      </c>
      <c r="E90" s="182" t="s">
        <v>2383</v>
      </c>
      <c r="F90" s="182" t="s">
        <v>711</v>
      </c>
      <c r="G90" s="182" t="s">
        <v>13177</v>
      </c>
      <c r="H90" s="183" t="s">
        <v>16015</v>
      </c>
      <c r="I90" s="184" t="s">
        <v>1627</v>
      </c>
      <c r="J90" s="184" t="s">
        <v>11458</v>
      </c>
      <c r="K90" s="224"/>
      <c r="L90" s="224"/>
      <c r="M90" s="224"/>
      <c r="N90" s="224" t="s">
        <v>15996</v>
      </c>
      <c r="O90" s="224" t="s">
        <v>16016</v>
      </c>
      <c r="P90" s="185"/>
      <c r="Q90" s="225" t="s">
        <v>15840</v>
      </c>
      <c r="R90" s="182" t="str">
        <f ca="1">IF(ISERROR($V90),"",OFFSET('Smelter Look-up'!$C$4,$V90-4,0)&amp;"")</f>
        <v>Solar Applied Materials Technology Corp.</v>
      </c>
      <c r="S90" s="181" t="str">
        <f t="shared" ca="1" si="11"/>
        <v>TW</v>
      </c>
      <c r="T90" s="181" t="str">
        <f ca="1">IF(B90="","",IF(ISERROR(MATCH($J90,SorP!$B$1:$B$6226,0)),"",INDIRECT("'SorP'!$A$"&amp;MATCH($S90&amp;$J90,SorP!C:C,0))))</f>
        <v>TW-TNN</v>
      </c>
      <c r="U90" s="201"/>
      <c r="V90" s="226">
        <f>IF(C90="",NA(),IF(OR(C90="Smelter not listed",C90="Smelter not yet identified"),MATCH($B90&amp;$D90,'Smelter Look-up'!$J:$J,0),MATCH($B90&amp;$C90,'Smelter Look-up'!$J:$J,0)))</f>
        <v>267</v>
      </c>
      <c r="X90" s="227">
        <f t="shared" si="12"/>
        <v>0</v>
      </c>
      <c r="AB90" s="228" t="str">
        <f t="shared" si="13"/>
        <v>GoldSolar Applied Materials Technology Corp.</v>
      </c>
    </row>
    <row r="91" spans="1:28" s="227" customFormat="1" ht="67.5">
      <c r="A91" s="181"/>
      <c r="B91" s="182" t="s">
        <v>1098</v>
      </c>
      <c r="C91" s="186" t="s">
        <v>885</v>
      </c>
      <c r="D91" s="230" t="s">
        <v>885</v>
      </c>
      <c r="E91" s="182" t="s">
        <v>854</v>
      </c>
      <c r="F91" s="182" t="s">
        <v>710</v>
      </c>
      <c r="G91" s="182" t="s">
        <v>13177</v>
      </c>
      <c r="H91" s="183" t="s">
        <v>16017</v>
      </c>
      <c r="I91" s="184" t="s">
        <v>1626</v>
      </c>
      <c r="J91" s="184" t="s">
        <v>9906</v>
      </c>
      <c r="K91" s="224"/>
      <c r="L91" s="224"/>
      <c r="M91" s="224"/>
      <c r="N91" s="224">
        <v>-2146826246</v>
      </c>
      <c r="O91" s="224" t="s">
        <v>16018</v>
      </c>
      <c r="P91" s="185"/>
      <c r="Q91" s="225"/>
      <c r="R91" s="182" t="str">
        <f ca="1">IF(ISERROR($V91),"",OFFSET('Smelter Look-up'!$C$4,$V91-4,0)&amp;"")</f>
        <v>SOE Shyolkovsky Factory of Secondary Precious Metals</v>
      </c>
      <c r="S91" s="181" t="str">
        <f t="shared" ca="1" si="11"/>
        <v>RU</v>
      </c>
      <c r="T91" s="181" t="str">
        <f ca="1">IF(B91="","",IF(ISERROR(MATCH($J91,SorP!$B$1:$B$6226,0)),"",INDIRECT("'SorP'!$A$"&amp;MATCH($S91&amp;$J91,SorP!C:C,0))))</f>
        <v>RU-MOS</v>
      </c>
      <c r="U91" s="201"/>
      <c r="V91" s="226">
        <f>IF(C91="",NA(),IF(OR(C91="Smelter not listed",C91="Smelter not yet identified"),MATCH($B91&amp;$D91,'Smelter Look-up'!$J:$J,0),MATCH($B91&amp;$C91,'Smelter Look-up'!$J:$J,0)))</f>
        <v>266</v>
      </c>
      <c r="X91" s="227">
        <f t="shared" si="12"/>
        <v>0</v>
      </c>
      <c r="AB91" s="228" t="str">
        <f t="shared" si="13"/>
        <v>GoldSOE Shyolkovsky Factory of Secondary Precious Metals</v>
      </c>
    </row>
    <row r="92" spans="1:28" s="227" customFormat="1" ht="27">
      <c r="A92" s="181"/>
      <c r="B92" s="182" t="s">
        <v>1098</v>
      </c>
      <c r="C92" s="186" t="s">
        <v>2115</v>
      </c>
      <c r="D92" s="230" t="s">
        <v>2115</v>
      </c>
      <c r="E92" s="182" t="s">
        <v>1069</v>
      </c>
      <c r="F92" s="182" t="s">
        <v>1357</v>
      </c>
      <c r="G92" s="182" t="s">
        <v>13177</v>
      </c>
      <c r="H92" s="183" t="s">
        <v>16019</v>
      </c>
      <c r="I92" s="184" t="s">
        <v>1625</v>
      </c>
      <c r="J92" s="184" t="s">
        <v>13538</v>
      </c>
      <c r="K92" s="224"/>
      <c r="L92" s="224"/>
      <c r="M92" s="224"/>
      <c r="N92" s="224" t="s">
        <v>15928</v>
      </c>
      <c r="O92" s="224" t="s">
        <v>16020</v>
      </c>
      <c r="P92" s="185"/>
      <c r="Q92" s="225" t="s">
        <v>15840</v>
      </c>
      <c r="R92" s="182" t="str">
        <f ca="1">IF(ISERROR($V92),"",OFFSET('Smelter Look-up'!$C$4,$V92-4,0)&amp;"")</f>
        <v>Sichuan Tianze Precious Metals Co., Ltd.</v>
      </c>
      <c r="S92" s="181" t="str">
        <f t="shared" ca="1" si="11"/>
        <v>CN</v>
      </c>
      <c r="T92" s="181" t="str">
        <f ca="1">IF(B92="","",IF(ISERROR(MATCH($J92,SorP!$B$1:$B$6226,0)),"",INDIRECT("'SorP'!$A$"&amp;MATCH($S92&amp;$J92,SorP!C:C,0))))</f>
        <v>CN-SC</v>
      </c>
      <c r="U92" s="201"/>
      <c r="V92" s="226">
        <f>IF(C92="",NA(),IF(OR(C92="Smelter not listed",C92="Smelter not yet identified"),MATCH($B92&amp;$D92,'Smelter Look-up'!$J:$J,0),MATCH($B92&amp;$C92,'Smelter Look-up'!$J:$J,0)))</f>
        <v>262</v>
      </c>
      <c r="X92" s="227">
        <f t="shared" si="12"/>
        <v>0</v>
      </c>
      <c r="AB92" s="228" t="str">
        <f t="shared" si="13"/>
        <v>GoldSichuan Tianze Precious Metals Co., Ltd.</v>
      </c>
    </row>
    <row r="93" spans="1:28" s="227" customFormat="1" ht="40.5">
      <c r="A93" s="181"/>
      <c r="B93" s="182" t="s">
        <v>1098</v>
      </c>
      <c r="C93" s="186" t="s">
        <v>2114</v>
      </c>
      <c r="D93" s="230" t="s">
        <v>2114</v>
      </c>
      <c r="E93" s="182" t="s">
        <v>1069</v>
      </c>
      <c r="F93" s="182" t="s">
        <v>709</v>
      </c>
      <c r="G93" s="182" t="s">
        <v>13177</v>
      </c>
      <c r="H93" s="183" t="s">
        <v>16021</v>
      </c>
      <c r="I93" s="184" t="s">
        <v>1552</v>
      </c>
      <c r="J93" s="184" t="s">
        <v>13532</v>
      </c>
      <c r="K93" s="224"/>
      <c r="L93" s="224"/>
      <c r="M93" s="224"/>
      <c r="N93" s="224" t="s">
        <v>16022</v>
      </c>
      <c r="O93" s="224" t="s">
        <v>16023</v>
      </c>
      <c r="P93" s="185"/>
      <c r="Q93" s="225" t="s">
        <v>15840</v>
      </c>
      <c r="R93" s="182" t="str">
        <f ca="1">IF(ISERROR($V93),"",OFFSET('Smelter Look-up'!$C$4,$V93-4,0)&amp;"")</f>
        <v>Shandong Zhaojin Gold &amp; Silver Refinery Co., Ltd.</v>
      </c>
      <c r="S93" s="181" t="str">
        <f t="shared" ca="1" si="11"/>
        <v>CN</v>
      </c>
      <c r="T93" s="181" t="str">
        <f ca="1">IF(B93="","",IF(ISERROR(MATCH($J93,SorP!$B$1:$B$6226,0)),"",INDIRECT("'SorP'!$A$"&amp;MATCH($S93&amp;$J93,SorP!C:C,0))))</f>
        <v>CN-SD</v>
      </c>
      <c r="U93" s="201"/>
      <c r="V93" s="226">
        <f>IF(C93="",NA(),IF(OR(C93="Smelter not listed",C93="Smelter not yet identified"),MATCH($B93&amp;$D93,'Smelter Look-up'!$J:$J,0),MATCH($B93&amp;$C93,'Smelter Look-up'!$J:$J,0)))</f>
        <v>254</v>
      </c>
      <c r="X93" s="227">
        <f t="shared" si="12"/>
        <v>0</v>
      </c>
      <c r="AB93" s="228" t="str">
        <f t="shared" si="13"/>
        <v>GoldShandong Zhaojin Gold &amp; Silver Refinery Co., Ltd.</v>
      </c>
    </row>
    <row r="94" spans="1:28" s="227" customFormat="1" ht="40.5">
      <c r="A94" s="181"/>
      <c r="B94" s="182" t="s">
        <v>1098</v>
      </c>
      <c r="C94" s="186" t="s">
        <v>1619</v>
      </c>
      <c r="D94" s="230" t="s">
        <v>1619</v>
      </c>
      <c r="E94" s="182" t="s">
        <v>1069</v>
      </c>
      <c r="F94" s="182" t="s">
        <v>1620</v>
      </c>
      <c r="G94" s="182" t="s">
        <v>13177</v>
      </c>
      <c r="H94" s="183" t="s">
        <v>15955</v>
      </c>
      <c r="I94" s="184" t="s">
        <v>1621</v>
      </c>
      <c r="J94" s="184" t="s">
        <v>13532</v>
      </c>
      <c r="K94" s="224"/>
      <c r="L94" s="224"/>
      <c r="M94" s="224"/>
      <c r="N94" s="224">
        <v>-2146826246</v>
      </c>
      <c r="O94" s="224" t="s">
        <v>16024</v>
      </c>
      <c r="P94" s="185"/>
      <c r="Q94" s="225"/>
      <c r="R94" s="182" t="str">
        <f ca="1">IF(ISERROR($V94),"",OFFSET('Smelter Look-up'!$C$4,$V94-4,0)&amp;"")</f>
        <v>Shandong Tiancheng Biological Gold Industrial Co., Ltd.</v>
      </c>
      <c r="S94" s="181" t="str">
        <f t="shared" ca="1" si="11"/>
        <v>CN</v>
      </c>
      <c r="T94" s="181" t="str">
        <f ca="1">IF(B94="","",IF(ISERROR(MATCH($J94,SorP!$B$1:$B$6226,0)),"",INDIRECT("'SorP'!$A$"&amp;MATCH($S94&amp;$J94,SorP!C:C,0))))</f>
        <v>CN-SD</v>
      </c>
      <c r="U94" s="201"/>
      <c r="V94" s="226">
        <f>IF(C94="",NA(),IF(OR(C94="Smelter not listed",C94="Smelter not yet identified"),MATCH($B94&amp;$D94,'Smelter Look-up'!$J:$J,0),MATCH($B94&amp;$C94,'Smelter Look-up'!$J:$J,0)))</f>
        <v>253</v>
      </c>
      <c r="X94" s="227">
        <f t="shared" si="12"/>
        <v>0</v>
      </c>
      <c r="AB94" s="228" t="str">
        <f t="shared" si="13"/>
        <v>GoldShandong Tiancheng Biological Gold Industrial Co., Ltd.</v>
      </c>
    </row>
    <row r="95" spans="1:28" s="227" customFormat="1" ht="216">
      <c r="A95" s="181"/>
      <c r="B95" s="182" t="s">
        <v>1098</v>
      </c>
      <c r="C95" s="186" t="s">
        <v>12380</v>
      </c>
      <c r="D95" s="230" t="s">
        <v>12380</v>
      </c>
      <c r="E95" s="182" t="s">
        <v>1071</v>
      </c>
      <c r="F95" s="182" t="s">
        <v>708</v>
      </c>
      <c r="G95" s="182" t="s">
        <v>13177</v>
      </c>
      <c r="H95" s="183" t="s">
        <v>16025</v>
      </c>
      <c r="I95" s="184" t="s">
        <v>1617</v>
      </c>
      <c r="J95" s="184" t="s">
        <v>4621</v>
      </c>
      <c r="K95" s="224"/>
      <c r="L95" s="224"/>
      <c r="M95" s="224"/>
      <c r="N95" s="224" t="s">
        <v>15928</v>
      </c>
      <c r="O95" s="224" t="s">
        <v>16026</v>
      </c>
      <c r="P95" s="185"/>
      <c r="Q95" s="225" t="s">
        <v>15840</v>
      </c>
      <c r="R95" s="182" t="str">
        <f ca="1">IF(ISERROR($V95),"",OFFSET('Smelter Look-up'!$C$4,$V95-4,0)&amp;"")</f>
        <v>SEMPSA Joyeria Plateria S.A.</v>
      </c>
      <c r="S95" s="181" t="str">
        <f t="shared" ca="1" si="11"/>
        <v>ES</v>
      </c>
      <c r="T95" s="181" t="str">
        <f ca="1">IF(B95="","",IF(ISERROR(MATCH($J95,SorP!$B$1:$B$6226,0)),"",INDIRECT("'SorP'!$A$"&amp;MATCH($S95&amp;$J95,SorP!C:C,0))))</f>
        <v>ES-MD</v>
      </c>
      <c r="U95" s="201"/>
      <c r="V95" s="226">
        <f>IF(C95="",NA(),IF(OR(C95="Smelter not listed",C95="Smelter not yet identified"),MATCH($B95&amp;$D95,'Smelter Look-up'!$J:$J,0),MATCH($B95&amp;$C95,'Smelter Look-up'!$J:$J,0)))</f>
        <v>242</v>
      </c>
      <c r="X95" s="227">
        <f t="shared" si="12"/>
        <v>0</v>
      </c>
      <c r="AB95" s="228" t="str">
        <f t="shared" si="13"/>
        <v>GoldSEMPSA Joyeria Plateria S.A.</v>
      </c>
    </row>
    <row r="96" spans="1:28" s="227" customFormat="1" ht="67.5">
      <c r="A96" s="181"/>
      <c r="B96" s="182" t="s">
        <v>1098</v>
      </c>
      <c r="C96" s="186" t="s">
        <v>16027</v>
      </c>
      <c r="D96" s="230" t="s">
        <v>16027</v>
      </c>
      <c r="E96" s="182" t="s">
        <v>1080</v>
      </c>
      <c r="F96" s="182" t="s">
        <v>707</v>
      </c>
      <c r="G96" s="182" t="s">
        <v>13177</v>
      </c>
      <c r="H96" s="183" t="s">
        <v>16028</v>
      </c>
      <c r="I96" s="184" t="s">
        <v>1616</v>
      </c>
      <c r="J96" s="184" t="s">
        <v>12820</v>
      </c>
      <c r="K96" s="224"/>
      <c r="L96" s="224"/>
      <c r="M96" s="224"/>
      <c r="N96" s="224">
        <v>-2146826246</v>
      </c>
      <c r="O96" s="224" t="s">
        <v>16029</v>
      </c>
      <c r="P96" s="185"/>
      <c r="Q96" s="225"/>
      <c r="R96" s="182" t="str">
        <f ca="1">IF(ISERROR($V96),"",OFFSET('Smelter Look-up'!$C$4,$V96-4,0)&amp;"")</f>
        <v>Samwon Metals Corp.</v>
      </c>
      <c r="S96" s="181" t="str">
        <f t="shared" ca="1" si="11"/>
        <v>KR</v>
      </c>
      <c r="T96" s="181" t="str">
        <f ca="1">IF(B96="","",IF(ISERROR(MATCH($J96,SorP!$B$1:$B$6226,0)),"",INDIRECT("'SorP'!$A$"&amp;MATCH($S96&amp;$J96,SorP!C:C,0))))</f>
        <v>KR-48</v>
      </c>
      <c r="U96" s="201"/>
      <c r="V96" s="226">
        <f>IF(C96="",NA(),IF(OR(C96="Smelter not listed",C96="Smelter not yet identified"),MATCH($B96&amp;$D96,'Smelter Look-up'!$J:$J,0),MATCH($B96&amp;$C96,'Smelter Look-up'!$J:$J,0)))</f>
        <v>240</v>
      </c>
      <c r="X96" s="227">
        <f t="shared" si="12"/>
        <v>0</v>
      </c>
      <c r="AB96" s="228" t="str">
        <f t="shared" si="13"/>
        <v>GoldSAMWON METALS Corp.</v>
      </c>
    </row>
    <row r="97" spans="1:28" s="227" customFormat="1" ht="148.5">
      <c r="A97" s="181"/>
      <c r="B97" s="182" t="s">
        <v>1098</v>
      </c>
      <c r="C97" s="186" t="s">
        <v>1372</v>
      </c>
      <c r="D97" s="230" t="s">
        <v>1372</v>
      </c>
      <c r="E97" s="182" t="s">
        <v>1080</v>
      </c>
      <c r="F97" s="182" t="s">
        <v>1373</v>
      </c>
      <c r="G97" s="182" t="s">
        <v>13177</v>
      </c>
      <c r="H97" s="183" t="s">
        <v>16030</v>
      </c>
      <c r="I97" s="184" t="s">
        <v>1538</v>
      </c>
      <c r="J97" s="184" t="s">
        <v>12813</v>
      </c>
      <c r="K97" s="224"/>
      <c r="L97" s="224"/>
      <c r="M97" s="224"/>
      <c r="N97" s="224" t="s">
        <v>15876</v>
      </c>
      <c r="O97" s="224" t="s">
        <v>16031</v>
      </c>
      <c r="P97" s="185"/>
      <c r="Q97" s="225" t="s">
        <v>15840</v>
      </c>
      <c r="R97" s="182" t="str">
        <f ca="1">IF(ISERROR($V97),"",OFFSET('Smelter Look-up'!$C$4,$V97-4,0)&amp;"")</f>
        <v>Samduck Precious Metals</v>
      </c>
      <c r="S97" s="181" t="str">
        <f t="shared" ca="1" si="11"/>
        <v>KR</v>
      </c>
      <c r="T97" s="181" t="str">
        <f ca="1">IF(B97="","",IF(ISERROR(MATCH($J97,SorP!$B$1:$B$6226,0)),"",INDIRECT("'SorP'!$A$"&amp;MATCH($S97&amp;$J97,SorP!C:C,0))))</f>
        <v>KR-28</v>
      </c>
      <c r="U97" s="201"/>
      <c r="V97" s="226">
        <f>IF(C97="",NA(),IF(OR(C97="Smelter not listed",C97="Smelter not yet identified"),MATCH($B97&amp;$D97,'Smelter Look-up'!$J:$J,0),MATCH($B97&amp;$C97,'Smelter Look-up'!$J:$J,0)))</f>
        <v>239</v>
      </c>
      <c r="X97" s="227">
        <f t="shared" si="12"/>
        <v>0</v>
      </c>
      <c r="AB97" s="228" t="str">
        <f t="shared" si="13"/>
        <v>GoldSamduck Precious Metals</v>
      </c>
    </row>
    <row r="98" spans="1:28" s="227" customFormat="1" ht="81">
      <c r="A98" s="181"/>
      <c r="B98" s="182" t="s">
        <v>1098</v>
      </c>
      <c r="C98" s="186" t="s">
        <v>1132</v>
      </c>
      <c r="D98" s="230" t="s">
        <v>1132</v>
      </c>
      <c r="E98" s="182" t="s">
        <v>2384</v>
      </c>
      <c r="F98" s="182" t="s">
        <v>706</v>
      </c>
      <c r="G98" s="182" t="s">
        <v>13177</v>
      </c>
      <c r="H98" s="183" t="s">
        <v>16032</v>
      </c>
      <c r="I98" s="184" t="s">
        <v>1612</v>
      </c>
      <c r="J98" s="184" t="s">
        <v>1613</v>
      </c>
      <c r="K98" s="224"/>
      <c r="L98" s="224"/>
      <c r="M98" s="224"/>
      <c r="N98" s="224">
        <v>-2146826246</v>
      </c>
      <c r="O98" s="224" t="s">
        <v>16033</v>
      </c>
      <c r="P98" s="185"/>
      <c r="Q98" s="225"/>
      <c r="R98" s="182" t="str">
        <f ca="1">IF(ISERROR($V98),"",OFFSET('Smelter Look-up'!$C$4,$V98-4,0)&amp;"")</f>
        <v>Sabin Metal Corp.</v>
      </c>
      <c r="S98" s="181" t="str">
        <f t="shared" ca="1" si="11"/>
        <v>US</v>
      </c>
      <c r="T98" s="181" t="str">
        <f ca="1">IF(B98="","",IF(ISERROR(MATCH($J98,SorP!$B$1:$B$6226,0)),"",INDIRECT("'SorP'!$A$"&amp;MATCH($S98&amp;$J98,SorP!C:C,0))))</f>
        <v>US-ND</v>
      </c>
      <c r="U98" s="201"/>
      <c r="V98" s="226">
        <f>IF(C98="",NA(),IF(OR(C98="Smelter not listed",C98="Smelter not yet identified"),MATCH($B98&amp;$D98,'Smelter Look-up'!$J:$J,0),MATCH($B98&amp;$C98,'Smelter Look-up'!$J:$J,0)))</f>
        <v>231</v>
      </c>
      <c r="X98" s="227">
        <f t="shared" si="12"/>
        <v>0</v>
      </c>
      <c r="AB98" s="228" t="str">
        <f t="shared" si="13"/>
        <v>GoldSabin Metal Corp.</v>
      </c>
    </row>
    <row r="99" spans="1:28" s="227" customFormat="1" ht="94.5">
      <c r="A99" s="181"/>
      <c r="B99" s="182" t="s">
        <v>1098</v>
      </c>
      <c r="C99" s="186" t="s">
        <v>884</v>
      </c>
      <c r="D99" s="230" t="s">
        <v>884</v>
      </c>
      <c r="E99" s="182" t="s">
        <v>1066</v>
      </c>
      <c r="F99" s="182" t="s">
        <v>705</v>
      </c>
      <c r="G99" s="182" t="s">
        <v>13177</v>
      </c>
      <c r="H99" s="183" t="s">
        <v>16034</v>
      </c>
      <c r="I99" s="184" t="s">
        <v>1611</v>
      </c>
      <c r="J99" s="184" t="s">
        <v>1569</v>
      </c>
      <c r="K99" s="224"/>
      <c r="L99" s="224"/>
      <c r="M99" s="224"/>
      <c r="N99" s="224" t="s">
        <v>15988</v>
      </c>
      <c r="O99" s="224" t="s">
        <v>16035</v>
      </c>
      <c r="P99" s="185"/>
      <c r="Q99" s="225" t="s">
        <v>15840</v>
      </c>
      <c r="R99" s="182" t="str">
        <f ca="1">IF(ISERROR($V99),"",OFFSET('Smelter Look-up'!$C$4,$V99-4,0)&amp;"")</f>
        <v>Royal Canadian Mint</v>
      </c>
      <c r="S99" s="181" t="str">
        <f t="shared" ca="1" si="11"/>
        <v>CA</v>
      </c>
      <c r="T99" s="181" t="str">
        <f ca="1">IF(B99="","",IF(ISERROR(MATCH($J99,SorP!$B$1:$B$6226,0)),"",INDIRECT("'SorP'!$A$"&amp;MATCH($S99&amp;$J99,SorP!C:C,0))))</f>
        <v>CA-ON</v>
      </c>
      <c r="U99" s="201"/>
      <c r="V99" s="226">
        <f>IF(C99="",NA(),IF(OR(C99="Smelter not listed",C99="Smelter not yet identified"),MATCH($B99&amp;$D99,'Smelter Look-up'!$J:$J,0),MATCH($B99&amp;$C99,'Smelter Look-up'!$J:$J,0)))</f>
        <v>229</v>
      </c>
      <c r="X99" s="227">
        <f t="shared" si="12"/>
        <v>0</v>
      </c>
      <c r="AB99" s="228" t="str">
        <f t="shared" si="13"/>
        <v>GoldRoyal Canadian Mint</v>
      </c>
    </row>
    <row r="100" spans="1:28" s="227" customFormat="1" ht="202.5">
      <c r="A100" s="181"/>
      <c r="B100" s="182" t="s">
        <v>1098</v>
      </c>
      <c r="C100" s="186" t="s">
        <v>2112</v>
      </c>
      <c r="D100" s="230" t="s">
        <v>2112</v>
      </c>
      <c r="E100" s="182" t="s">
        <v>864</v>
      </c>
      <c r="F100" s="182" t="s">
        <v>704</v>
      </c>
      <c r="G100" s="182" t="s">
        <v>13177</v>
      </c>
      <c r="H100" s="183" t="s">
        <v>16036</v>
      </c>
      <c r="I100" s="184" t="s">
        <v>1609</v>
      </c>
      <c r="J100" s="184" t="s">
        <v>1610</v>
      </c>
      <c r="K100" s="224"/>
      <c r="L100" s="224"/>
      <c r="M100" s="224"/>
      <c r="N100" s="224" t="s">
        <v>15928</v>
      </c>
      <c r="O100" s="224" t="s">
        <v>16037</v>
      </c>
      <c r="P100" s="185"/>
      <c r="Q100" s="225" t="s">
        <v>15840</v>
      </c>
      <c r="R100" s="182" t="str">
        <f ca="1">IF(ISERROR($V100),"",OFFSET('Smelter Look-up'!$C$4,$V100-4,0)&amp;"")</f>
        <v>Rand Refinery (Pty) Ltd.</v>
      </c>
      <c r="S100" s="181" t="str">
        <f t="shared" ca="1" si="11"/>
        <v>ZA</v>
      </c>
      <c r="T100" s="181" t="str">
        <f ca="1">IF(B100="","",IF(ISERROR(MATCH($J100,SorP!$B$1:$B$6226,0)),"",INDIRECT("'SorP'!$A$"&amp;MATCH($S100&amp;$J100,SorP!C:C,0))))</f>
        <v>ZA-GP</v>
      </c>
      <c r="U100" s="201"/>
      <c r="V100" s="226">
        <f>IF(C100="",NA(),IF(OR(C100="Smelter not listed",C100="Smelter not yet identified"),MATCH($B100&amp;$D100,'Smelter Look-up'!$J:$J,0),MATCH($B100&amp;$C100,'Smelter Look-up'!$J:$J,0)))</f>
        <v>224</v>
      </c>
      <c r="X100" s="227">
        <f t="shared" si="12"/>
        <v>0</v>
      </c>
      <c r="AB100" s="228" t="str">
        <f t="shared" si="13"/>
        <v>GoldRand Refinery (Pty) Ltd.</v>
      </c>
    </row>
    <row r="101" spans="1:28" s="227" customFormat="1" ht="94.5">
      <c r="A101" s="181"/>
      <c r="B101" s="182" t="s">
        <v>1098</v>
      </c>
      <c r="C101" s="186" t="s">
        <v>12379</v>
      </c>
      <c r="D101" s="230" t="s">
        <v>12379</v>
      </c>
      <c r="E101" s="182" t="s">
        <v>1067</v>
      </c>
      <c r="F101" s="182" t="s">
        <v>703</v>
      </c>
      <c r="G101" s="182" t="s">
        <v>13177</v>
      </c>
      <c r="H101" s="183" t="s">
        <v>16038</v>
      </c>
      <c r="I101" s="184" t="s">
        <v>1608</v>
      </c>
      <c r="J101" s="184" t="s">
        <v>1589</v>
      </c>
      <c r="K101" s="224"/>
      <c r="L101" s="224"/>
      <c r="M101" s="224"/>
      <c r="N101" s="224" t="s">
        <v>15928</v>
      </c>
      <c r="O101" s="224" t="s">
        <v>16039</v>
      </c>
      <c r="P101" s="185"/>
      <c r="Q101" s="225" t="s">
        <v>15840</v>
      </c>
      <c r="R101" s="182" t="str">
        <f ca="1">IF(ISERROR($V101),"",OFFSET('Smelter Look-up'!$C$4,$V101-4,0)&amp;"")</f>
        <v>PX Precinox S.A.</v>
      </c>
      <c r="S101" s="181" t="str">
        <f t="shared" ca="1" si="11"/>
        <v>CH</v>
      </c>
      <c r="T101" s="181" t="str">
        <f ca="1">IF(B101="","",IF(ISERROR(MATCH($J101,SorP!$B$1:$B$6226,0)),"",INDIRECT("'SorP'!$A$"&amp;MATCH($S101&amp;$J101,SorP!C:C,0))))</f>
        <v>CH-NE</v>
      </c>
      <c r="U101" s="201"/>
      <c r="V101" s="226">
        <f>IF(C101="",NA(),IF(OR(C101="Smelter not listed",C101="Smelter not yet identified"),MATCH($B101&amp;$D101,'Smelter Look-up'!$J:$J,0),MATCH($B101&amp;$C101,'Smelter Look-up'!$J:$J,0)))</f>
        <v>221</v>
      </c>
      <c r="X101" s="227">
        <f t="shared" si="12"/>
        <v>0</v>
      </c>
      <c r="AB101" s="228" t="str">
        <f t="shared" si="13"/>
        <v>GoldPX Precinox S.A.</v>
      </c>
    </row>
    <row r="102" spans="1:28" s="227" customFormat="1" ht="121.5">
      <c r="A102" s="181"/>
      <c r="B102" s="182" t="s">
        <v>1098</v>
      </c>
      <c r="C102" s="186" t="s">
        <v>1198</v>
      </c>
      <c r="D102" s="230" t="s">
        <v>1198</v>
      </c>
      <c r="E102" s="182" t="s">
        <v>1074</v>
      </c>
      <c r="F102" s="182" t="s">
        <v>702</v>
      </c>
      <c r="G102" s="182" t="s">
        <v>13177</v>
      </c>
      <c r="H102" s="183" t="s">
        <v>16040</v>
      </c>
      <c r="I102" s="184" t="s">
        <v>1607</v>
      </c>
      <c r="J102" s="184" t="s">
        <v>5954</v>
      </c>
      <c r="K102" s="224"/>
      <c r="L102" s="224"/>
      <c r="M102" s="224"/>
      <c r="N102" s="224" t="s">
        <v>15928</v>
      </c>
      <c r="O102" s="224" t="s">
        <v>16041</v>
      </c>
      <c r="P102" s="185"/>
      <c r="Q102" s="225" t="s">
        <v>15840</v>
      </c>
      <c r="R102" s="182" t="str">
        <f ca="1">IF(ISERROR($V102),"",OFFSET('Smelter Look-up'!$C$4,$V102-4,0)&amp;"")</f>
        <v>PT Aneka Tambang (Persero) Tbk</v>
      </c>
      <c r="S102" s="181" t="str">
        <f t="shared" ref="S102:S132" ca="1" si="14">IF(B102="","",IF(ISERROR(MATCH($E102,CL,0)),"Unknown",INDIRECT("'C'!$A$"&amp;MATCH($E102,CL,0)+1)))</f>
        <v>ID</v>
      </c>
      <c r="T102" s="181" t="str">
        <f ca="1">IF(B102="","",IF(ISERROR(MATCH($J102,SorP!$B$1:$B$6226,0)),"",INDIRECT("'SorP'!$A$"&amp;MATCH($S102&amp;$J102,SorP!C:C,0))))</f>
        <v>ID-JK</v>
      </c>
      <c r="U102" s="201"/>
      <c r="V102" s="226">
        <f>IF(C102="",NA(),IF(OR(C102="Smelter not listed",C102="Smelter not yet identified"),MATCH($B102&amp;$D102,'Smelter Look-up'!$J:$J,0),MATCH($B102&amp;$C102,'Smelter Look-up'!$J:$J,0)))</f>
        <v>220</v>
      </c>
      <c r="X102" s="227">
        <f t="shared" ref="X102:X132" si="15">IF(AND(C102="Smelter not listed",OR(LEN(D102)=0,LEN(E102)=0)),1,0)</f>
        <v>0</v>
      </c>
      <c r="AB102" s="228" t="str">
        <f t="shared" ref="AB102:AB132" si="16">B102&amp;C102</f>
        <v>GoldPT Aneka Tambang (Persero) Tbk</v>
      </c>
    </row>
    <row r="103" spans="1:28" s="227" customFormat="1" ht="135">
      <c r="A103" s="181"/>
      <c r="B103" s="182" t="s">
        <v>1098</v>
      </c>
      <c r="C103" s="186" t="s">
        <v>883</v>
      </c>
      <c r="D103" s="230" t="s">
        <v>883</v>
      </c>
      <c r="E103" s="182" t="s">
        <v>854</v>
      </c>
      <c r="F103" s="182" t="s">
        <v>701</v>
      </c>
      <c r="G103" s="182" t="s">
        <v>13177</v>
      </c>
      <c r="H103" s="183" t="s">
        <v>16042</v>
      </c>
      <c r="I103" s="184" t="s">
        <v>1606</v>
      </c>
      <c r="J103" s="184" t="s">
        <v>9842</v>
      </c>
      <c r="K103" s="224"/>
      <c r="L103" s="224"/>
      <c r="M103" s="224"/>
      <c r="N103" s="224">
        <v>-2146826246</v>
      </c>
      <c r="O103" s="224" t="s">
        <v>16043</v>
      </c>
      <c r="P103" s="185"/>
      <c r="Q103" s="225"/>
      <c r="R103" s="182" t="str">
        <f ca="1">IF(ISERROR($V103),"",OFFSET('Smelter Look-up'!$C$4,$V103-4,0)&amp;"")</f>
        <v>Prioksky Plant of Non-Ferrous Metals</v>
      </c>
      <c r="S103" s="181" t="str">
        <f t="shared" ca="1" si="14"/>
        <v>RU</v>
      </c>
      <c r="T103" s="181" t="str">
        <f ca="1">IF(B103="","",IF(ISERROR(MATCH($J103,SorP!$B$1:$B$6226,0)),"",INDIRECT("'SorP'!$A$"&amp;MATCH($S103&amp;$J103,SorP!C:C,0))))</f>
        <v>RU-RYA</v>
      </c>
      <c r="U103" s="201"/>
      <c r="V103" s="226">
        <f>IF(C103="",NA(),IF(OR(C103="Smelter not listed",C103="Smelter not yet identified"),MATCH($B103&amp;$D103,'Smelter Look-up'!$J:$J,0),MATCH($B103&amp;$C103,'Smelter Look-up'!$J:$J,0)))</f>
        <v>218</v>
      </c>
      <c r="X103" s="227">
        <f t="shared" si="15"/>
        <v>0</v>
      </c>
      <c r="AB103" s="228" t="str">
        <f t="shared" si="16"/>
        <v>GoldPrioksky Plant of Non-Ferrous Metals</v>
      </c>
    </row>
    <row r="104" spans="1:28" s="227" customFormat="1" ht="27">
      <c r="A104" s="181"/>
      <c r="B104" s="182" t="s">
        <v>1098</v>
      </c>
      <c r="C104" s="186" t="s">
        <v>2111</v>
      </c>
      <c r="D104" s="230" t="s">
        <v>2111</v>
      </c>
      <c r="E104" s="182" t="s">
        <v>1069</v>
      </c>
      <c r="F104" s="182" t="s">
        <v>700</v>
      </c>
      <c r="G104" s="182" t="s">
        <v>13177</v>
      </c>
      <c r="H104" s="183" t="s">
        <v>16044</v>
      </c>
      <c r="I104" s="184" t="s">
        <v>2430</v>
      </c>
      <c r="J104" s="184" t="s">
        <v>13532</v>
      </c>
      <c r="K104" s="224"/>
      <c r="L104" s="224"/>
      <c r="M104" s="224"/>
      <c r="N104" s="224">
        <v>-2146826246</v>
      </c>
      <c r="O104" s="224" t="s">
        <v>16045</v>
      </c>
      <c r="P104" s="185"/>
      <c r="Q104" s="225"/>
      <c r="R104" s="182" t="str">
        <f ca="1">IF(ISERROR($V104),"",OFFSET('Smelter Look-up'!$C$4,$V104-4,0)&amp;"")</f>
        <v>Penglai Penggang Gold Industry Co., Ltd.</v>
      </c>
      <c r="S104" s="181" t="str">
        <f t="shared" ca="1" si="14"/>
        <v>CN</v>
      </c>
      <c r="T104" s="181" t="str">
        <f ca="1">IF(B104="","",IF(ISERROR(MATCH($J104,SorP!$B$1:$B$6226,0)),"",INDIRECT("'SorP'!$A$"&amp;MATCH($S104&amp;$J104,SorP!C:C,0))))</f>
        <v>CN-SD</v>
      </c>
      <c r="U104" s="201"/>
      <c r="V104" s="226">
        <f>IF(C104="",NA(),IF(OR(C104="Smelter not listed",C104="Smelter not yet identified"),MATCH($B104&amp;$D104,'Smelter Look-up'!$J:$J,0),MATCH($B104&amp;$C104,'Smelter Look-up'!$J:$J,0)))</f>
        <v>214</v>
      </c>
      <c r="X104" s="227">
        <f t="shared" si="15"/>
        <v>0</v>
      </c>
      <c r="AB104" s="228" t="str">
        <f t="shared" si="16"/>
        <v>GoldPenglai Penggang Gold Industry Co., Ltd.</v>
      </c>
    </row>
    <row r="105" spans="1:28" s="227" customFormat="1" ht="202.5">
      <c r="A105" s="181"/>
      <c r="B105" s="182" t="s">
        <v>1098</v>
      </c>
      <c r="C105" s="186" t="s">
        <v>2265</v>
      </c>
      <c r="D105" s="230" t="s">
        <v>2265</v>
      </c>
      <c r="E105" s="182" t="s">
        <v>1067</v>
      </c>
      <c r="F105" s="182" t="s">
        <v>699</v>
      </c>
      <c r="G105" s="182" t="s">
        <v>13177</v>
      </c>
      <c r="H105" s="183" t="s">
        <v>16046</v>
      </c>
      <c r="I105" s="184" t="s">
        <v>15337</v>
      </c>
      <c r="J105" s="184" t="s">
        <v>3741</v>
      </c>
      <c r="K105" s="224"/>
      <c r="L105" s="224"/>
      <c r="M105" s="224"/>
      <c r="N105" s="224" t="s">
        <v>15928</v>
      </c>
      <c r="O105" s="224" t="s">
        <v>16047</v>
      </c>
      <c r="P105" s="185"/>
      <c r="Q105" s="225" t="s">
        <v>15840</v>
      </c>
      <c r="R105" s="182" t="str">
        <f ca="1">IF(ISERROR($V105),"",OFFSET('Smelter Look-up'!$C$4,$V105-4,0)&amp;"")</f>
        <v>MKS PAMP SA</v>
      </c>
      <c r="S105" s="181" t="str">
        <f t="shared" ca="1" si="14"/>
        <v>CH</v>
      </c>
      <c r="T105" s="181" t="str">
        <f ca="1">IF(B105="","",IF(ISERROR(MATCH($J105,SorP!$B$1:$B$6226,0)),"",INDIRECT("'SorP'!$A$"&amp;MATCH($S105&amp;$J105,SorP!C:C,0))))</f>
        <v>CH-GE</v>
      </c>
      <c r="U105" s="201"/>
      <c r="V105" s="226">
        <f>IF(C105="",NA(),IF(OR(C105="Smelter not listed",C105="Smelter not yet identified"),MATCH($B105&amp;$D105,'Smelter Look-up'!$J:$J,0),MATCH($B105&amp;$C105,'Smelter Look-up'!$J:$J,0)))</f>
        <v>211</v>
      </c>
      <c r="X105" s="227">
        <f t="shared" si="15"/>
        <v>0</v>
      </c>
      <c r="AB105" s="228" t="str">
        <f t="shared" si="16"/>
        <v>GoldPAMP S.A.</v>
      </c>
    </row>
    <row r="106" spans="1:28" s="227" customFormat="1" ht="67.5">
      <c r="A106" s="181"/>
      <c r="B106" s="182" t="s">
        <v>1098</v>
      </c>
      <c r="C106" s="186" t="s">
        <v>2209</v>
      </c>
      <c r="D106" s="230" t="s">
        <v>2209</v>
      </c>
      <c r="E106" s="182" t="s">
        <v>854</v>
      </c>
      <c r="F106" s="182" t="s">
        <v>698</v>
      </c>
      <c r="G106" s="182" t="s">
        <v>13177</v>
      </c>
      <c r="H106" s="183" t="s">
        <v>16048</v>
      </c>
      <c r="I106" s="184" t="s">
        <v>1604</v>
      </c>
      <c r="J106" s="184" t="s">
        <v>9982</v>
      </c>
      <c r="K106" s="224"/>
      <c r="L106" s="224"/>
      <c r="M106" s="224"/>
      <c r="N106" s="224">
        <v>-2146826246</v>
      </c>
      <c r="O106" s="224" t="s">
        <v>16049</v>
      </c>
      <c r="P106" s="185"/>
      <c r="Q106" s="225"/>
      <c r="R106" s="182" t="str">
        <f ca="1">IF(ISERROR($V106),"",OFFSET('Smelter Look-up'!$C$4,$V106-4,0)&amp;"")</f>
        <v>OJSC "The Gulidov Krasnoyarsk Non-Ferrous Metals Plant" (OJSC Krastsvetmet)</v>
      </c>
      <c r="S106" s="181" t="str">
        <f t="shared" ca="1" si="14"/>
        <v>RU</v>
      </c>
      <c r="T106" s="181" t="str">
        <f ca="1">IF(B106="","",IF(ISERROR(MATCH($J106,SorP!$B$1:$B$6226,0)),"",INDIRECT("'SorP'!$A$"&amp;MATCH($S106&amp;$J106,SorP!C:C,0))))</f>
        <v>RU-KYA</v>
      </c>
      <c r="U106" s="201"/>
      <c r="V106" s="226">
        <f>IF(C106="",NA(),IF(OR(C106="Smelter not listed",C106="Smelter not yet identified"),MATCH($B106&amp;$D106,'Smelter Look-up'!$J:$J,0),MATCH($B106&amp;$C106,'Smelter Look-up'!$J:$J,0)))</f>
        <v>208</v>
      </c>
      <c r="X106" s="227">
        <f t="shared" si="15"/>
        <v>0</v>
      </c>
      <c r="AB106" s="228" t="str">
        <f t="shared" si="16"/>
        <v>GoldOJSC "The Gulidov Krasnoyarsk Non-Ferrous Metals Plant" (OJSC Krastsvetmet)</v>
      </c>
    </row>
    <row r="107" spans="1:28" s="227" customFormat="1" ht="229.5">
      <c r="A107" s="181"/>
      <c r="B107" s="182" t="s">
        <v>1098</v>
      </c>
      <c r="C107" s="186" t="s">
        <v>2110</v>
      </c>
      <c r="D107" s="230" t="s">
        <v>2110</v>
      </c>
      <c r="E107" s="182" t="s">
        <v>1077</v>
      </c>
      <c r="F107" s="182" t="s">
        <v>697</v>
      </c>
      <c r="G107" s="182" t="s">
        <v>13177</v>
      </c>
      <c r="H107" s="183" t="s">
        <v>16050</v>
      </c>
      <c r="I107" s="184" t="s">
        <v>1602</v>
      </c>
      <c r="J107" s="184" t="s">
        <v>1603</v>
      </c>
      <c r="K107" s="224"/>
      <c r="L107" s="224"/>
      <c r="M107" s="224"/>
      <c r="N107" s="224" t="s">
        <v>15861</v>
      </c>
      <c r="O107" s="224" t="s">
        <v>16051</v>
      </c>
      <c r="P107" s="185"/>
      <c r="Q107" s="225" t="s">
        <v>15840</v>
      </c>
      <c r="R107" s="182" t="str">
        <f ca="1">IF(ISERROR($V107),"",OFFSET('Smelter Look-up'!$C$4,$V107-4,0)&amp;"")</f>
        <v>Ohura Precious Metal Industry Co., Ltd.</v>
      </c>
      <c r="S107" s="181" t="str">
        <f t="shared" ca="1" si="14"/>
        <v>JP</v>
      </c>
      <c r="T107" s="181" t="str">
        <f ca="1">IF(B107="","",IF(ISERROR(MATCH($J107,SorP!$B$1:$B$6226,0)),"",INDIRECT("'SorP'!$A$"&amp;MATCH($S107&amp;$J107,SorP!C:C,0))))</f>
        <v>JP-29</v>
      </c>
      <c r="U107" s="201"/>
      <c r="V107" s="226">
        <f>IF(C107="",NA(),IF(OR(C107="Smelter not listed",C107="Smelter not yet identified"),MATCH($B107&amp;$D107,'Smelter Look-up'!$J:$J,0),MATCH($B107&amp;$C107,'Smelter Look-up'!$J:$J,0)))</f>
        <v>207</v>
      </c>
      <c r="X107" s="227">
        <f t="shared" si="15"/>
        <v>0</v>
      </c>
      <c r="AB107" s="228" t="str">
        <f t="shared" si="16"/>
        <v>GoldOhura Precious Metal Industry Co., Ltd.</v>
      </c>
    </row>
    <row r="108" spans="1:28" s="227" customFormat="1" ht="175.5">
      <c r="A108" s="181"/>
      <c r="B108" s="182" t="s">
        <v>1098</v>
      </c>
      <c r="C108" s="186" t="s">
        <v>2109</v>
      </c>
      <c r="D108" s="230" t="s">
        <v>2109</v>
      </c>
      <c r="E108" s="182" t="s">
        <v>1077</v>
      </c>
      <c r="F108" s="182" t="s">
        <v>696</v>
      </c>
      <c r="G108" s="182" t="s">
        <v>13177</v>
      </c>
      <c r="H108" s="183" t="s">
        <v>16052</v>
      </c>
      <c r="I108" s="184" t="s">
        <v>1599</v>
      </c>
      <c r="J108" s="184" t="s">
        <v>1600</v>
      </c>
      <c r="K108" s="224"/>
      <c r="L108" s="224"/>
      <c r="M108" s="224"/>
      <c r="N108" s="224" t="s">
        <v>15988</v>
      </c>
      <c r="O108" s="224" t="s">
        <v>16053</v>
      </c>
      <c r="P108" s="185"/>
      <c r="Q108" s="225" t="s">
        <v>15840</v>
      </c>
      <c r="R108" s="182" t="str">
        <f ca="1">IF(ISERROR($V108),"",OFFSET('Smelter Look-up'!$C$4,$V108-4,0)&amp;"")</f>
        <v>Nihon Material Co., Ltd.</v>
      </c>
      <c r="S108" s="181" t="str">
        <f t="shared" ca="1" si="14"/>
        <v>JP</v>
      </c>
      <c r="T108" s="181" t="str">
        <f ca="1">IF(B108="","",IF(ISERROR(MATCH($J108,SorP!$B$1:$B$6226,0)),"",INDIRECT("'SorP'!$A$"&amp;MATCH($S108&amp;$J108,SorP!C:C,0))))</f>
        <v>JP-12</v>
      </c>
      <c r="U108" s="201"/>
      <c r="V108" s="226">
        <f>IF(C108="",NA(),IF(OR(C108="Smelter not listed",C108="Smelter not yet identified"),MATCH($B108&amp;$D108,'Smelter Look-up'!$J:$J,0),MATCH($B108&amp;$C108,'Smelter Look-up'!$J:$J,0)))</f>
        <v>201</v>
      </c>
      <c r="X108" s="227">
        <f t="shared" si="15"/>
        <v>0</v>
      </c>
      <c r="AB108" s="228" t="str">
        <f t="shared" si="16"/>
        <v>GoldNihon Material Co., Ltd.</v>
      </c>
    </row>
    <row r="109" spans="1:28" s="227" customFormat="1" ht="54">
      <c r="A109" s="181"/>
      <c r="B109" s="182" t="s">
        <v>1098</v>
      </c>
      <c r="C109" s="186" t="s">
        <v>1197</v>
      </c>
      <c r="D109" s="230" t="s">
        <v>1197</v>
      </c>
      <c r="E109" s="182" t="s">
        <v>862</v>
      </c>
      <c r="F109" s="182" t="s">
        <v>695</v>
      </c>
      <c r="G109" s="182" t="s">
        <v>13177</v>
      </c>
      <c r="H109" s="183" t="s">
        <v>16054</v>
      </c>
      <c r="I109" s="184" t="s">
        <v>1598</v>
      </c>
      <c r="J109" s="184" t="s">
        <v>11966</v>
      </c>
      <c r="K109" s="224"/>
      <c r="L109" s="224"/>
      <c r="M109" s="224"/>
      <c r="N109" s="224" t="s">
        <v>15928</v>
      </c>
      <c r="O109" s="224" t="s">
        <v>16055</v>
      </c>
      <c r="P109" s="185"/>
      <c r="Q109" s="225" t="s">
        <v>15840</v>
      </c>
      <c r="R109" s="182" t="str">
        <f ca="1">IF(ISERROR($V109),"",OFFSET('Smelter Look-up'!$C$4,$V109-4,0)&amp;"")</f>
        <v>Navoi Mining and Metallurgical Combinat</v>
      </c>
      <c r="S109" s="181" t="str">
        <f t="shared" ca="1" si="14"/>
        <v>UZ</v>
      </c>
      <c r="T109" s="181" t="str">
        <f ca="1">IF(B109="","",IF(ISERROR(MATCH($J109,SorP!$B$1:$B$6226,0)),"",INDIRECT("'SorP'!$A$"&amp;MATCH($S109&amp;$J109,SorP!C:C,0))))</f>
        <v>UZ-NW</v>
      </c>
      <c r="U109" s="201"/>
      <c r="V109" s="226">
        <f>IF(C109="",NA(),IF(OR(C109="Smelter not listed",C109="Smelter not yet identified"),MATCH($B109&amp;$D109,'Smelter Look-up'!$J:$J,0),MATCH($B109&amp;$C109,'Smelter Look-up'!$J:$J,0)))</f>
        <v>199</v>
      </c>
      <c r="X109" s="227">
        <f t="shared" si="15"/>
        <v>0</v>
      </c>
      <c r="AB109" s="228" t="str">
        <f t="shared" si="16"/>
        <v>GoldNavoi Mining and Metallurgical Combinat</v>
      </c>
    </row>
    <row r="110" spans="1:28" s="227" customFormat="1" ht="81">
      <c r="A110" s="181"/>
      <c r="B110" s="182" t="s">
        <v>1098</v>
      </c>
      <c r="C110" s="186" t="s">
        <v>12378</v>
      </c>
      <c r="D110" s="230" t="s">
        <v>12378</v>
      </c>
      <c r="E110" s="182" t="s">
        <v>860</v>
      </c>
      <c r="F110" s="182" t="s">
        <v>694</v>
      </c>
      <c r="G110" s="182" t="s">
        <v>13177</v>
      </c>
      <c r="H110" s="183" t="s">
        <v>16056</v>
      </c>
      <c r="I110" s="184" t="s">
        <v>1597</v>
      </c>
      <c r="J110" s="184" t="s">
        <v>11215</v>
      </c>
      <c r="K110" s="224"/>
      <c r="L110" s="224"/>
      <c r="M110" s="224"/>
      <c r="N110" s="224" t="s">
        <v>15928</v>
      </c>
      <c r="O110" s="224" t="s">
        <v>16057</v>
      </c>
      <c r="P110" s="185"/>
      <c r="Q110" s="225" t="s">
        <v>15840</v>
      </c>
      <c r="R110" s="182" t="str">
        <f ca="1">IF(ISERROR($V110),"",OFFSET('Smelter Look-up'!$C$4,$V110-4,0)&amp;"")</f>
        <v>Nadir Metal Rafineri San. Ve Tic. A.S.</v>
      </c>
      <c r="S110" s="181" t="str">
        <f t="shared" ca="1" si="14"/>
        <v>TR</v>
      </c>
      <c r="T110" s="181" t="str">
        <f ca="1">IF(B110="","",IF(ISERROR(MATCH($J110,SorP!$B$1:$B$6226,0)),"",INDIRECT("'SorP'!$A$"&amp;MATCH($S110&amp;$J110,SorP!C:C,0))))</f>
        <v>TR-34</v>
      </c>
      <c r="U110" s="201"/>
      <c r="V110" s="226">
        <f>IF(C110="",NA(),IF(OR(C110="Smelter not listed",C110="Smelter not yet identified"),MATCH($B110&amp;$D110,'Smelter Look-up'!$J:$J,0),MATCH($B110&amp;$C110,'Smelter Look-up'!$J:$J,0)))</f>
        <v>197</v>
      </c>
      <c r="X110" s="227">
        <f t="shared" si="15"/>
        <v>0</v>
      </c>
      <c r="AB110" s="228" t="str">
        <f t="shared" si="16"/>
        <v>GoldNadir Metal Rafineri San. Ve Tic. A.S.</v>
      </c>
    </row>
    <row r="111" spans="1:28" s="227" customFormat="1" ht="135">
      <c r="A111" s="181"/>
      <c r="B111" s="182" t="s">
        <v>1098</v>
      </c>
      <c r="C111" s="186" t="s">
        <v>882</v>
      </c>
      <c r="D111" s="230" t="s">
        <v>882</v>
      </c>
      <c r="E111" s="182" t="s">
        <v>854</v>
      </c>
      <c r="F111" s="182" t="s">
        <v>693</v>
      </c>
      <c r="G111" s="182" t="s">
        <v>13177</v>
      </c>
      <c r="H111" s="183" t="s">
        <v>16058</v>
      </c>
      <c r="I111" s="184" t="s">
        <v>1596</v>
      </c>
      <c r="J111" s="184" t="s">
        <v>9839</v>
      </c>
      <c r="K111" s="224"/>
      <c r="L111" s="224"/>
      <c r="M111" s="224"/>
      <c r="N111" s="224">
        <v>-2146826246</v>
      </c>
      <c r="O111" s="224" t="s">
        <v>16059</v>
      </c>
      <c r="P111" s="185"/>
      <c r="Q111" s="225"/>
      <c r="R111" s="182" t="str">
        <f ca="1">IF(ISERROR($V111),"",OFFSET('Smelter Look-up'!$C$4,$V111-4,0)&amp;"")</f>
        <v>Moscow Special Alloys Processing Plant</v>
      </c>
      <c r="S111" s="181" t="str">
        <f t="shared" ca="1" si="14"/>
        <v>RU</v>
      </c>
      <c r="T111" s="181" t="str">
        <f ca="1">IF(B111="","",IF(ISERROR(MATCH($J111,SorP!$B$1:$B$6226,0)),"",INDIRECT("'SorP'!$A$"&amp;MATCH($S111&amp;$J111,SorP!C:C,0))))</f>
        <v>RU-MOW</v>
      </c>
      <c r="U111" s="201"/>
      <c r="V111" s="226">
        <f>IF(C111="",NA(),IF(OR(C111="Smelter not listed",C111="Smelter not yet identified"),MATCH($B111&amp;$D111,'Smelter Look-up'!$J:$J,0),MATCH($B111&amp;$C111,'Smelter Look-up'!$J:$J,0)))</f>
        <v>196</v>
      </c>
      <c r="X111" s="227">
        <f t="shared" si="15"/>
        <v>0</v>
      </c>
      <c r="AB111" s="228" t="str">
        <f t="shared" si="16"/>
        <v>GoldMoscow Special Alloys Processing Plant</v>
      </c>
    </row>
    <row r="112" spans="1:28" s="227" customFormat="1" ht="67.5">
      <c r="A112" s="181"/>
      <c r="B112" s="182" t="s">
        <v>1098</v>
      </c>
      <c r="C112" s="186" t="s">
        <v>1196</v>
      </c>
      <c r="D112" s="230" t="s">
        <v>1196</v>
      </c>
      <c r="E112" s="182" t="s">
        <v>1077</v>
      </c>
      <c r="F112" s="182" t="s">
        <v>692</v>
      </c>
      <c r="G112" s="182" t="s">
        <v>13177</v>
      </c>
      <c r="H112" s="183" t="s">
        <v>16060</v>
      </c>
      <c r="I112" s="184" t="s">
        <v>1594</v>
      </c>
      <c r="J112" s="184" t="s">
        <v>1593</v>
      </c>
      <c r="K112" s="224"/>
      <c r="L112" s="224"/>
      <c r="M112" s="224"/>
      <c r="N112" s="224" t="s">
        <v>15988</v>
      </c>
      <c r="O112" s="224" t="s">
        <v>16061</v>
      </c>
      <c r="P112" s="185"/>
      <c r="Q112" s="225" t="s">
        <v>15840</v>
      </c>
      <c r="R112" s="182" t="str">
        <f ca="1">IF(ISERROR($V112),"",OFFSET('Smelter Look-up'!$C$4,$V112-4,0)&amp;"")</f>
        <v>Mitsui Mining and Smelting Co., Ltd.</v>
      </c>
      <c r="S112" s="181" t="str">
        <f t="shared" ca="1" si="14"/>
        <v>JP</v>
      </c>
      <c r="T112" s="181" t="str">
        <f ca="1">IF(B112="","",IF(ISERROR(MATCH($J112,SorP!$B$1:$B$6226,0)),"",INDIRECT("'SorP'!$A$"&amp;MATCH($S112&amp;$J112,SorP!C:C,0))))</f>
        <v>JP-34</v>
      </c>
      <c r="U112" s="201"/>
      <c r="V112" s="226">
        <f>IF(C112="",NA(),IF(OR(C112="Smelter not listed",C112="Smelter not yet identified"),MATCH($B112&amp;$D112,'Smelter Look-up'!$J:$J,0),MATCH($B112&amp;$C112,'Smelter Look-up'!$J:$J,0)))</f>
        <v>191</v>
      </c>
      <c r="X112" s="227">
        <f t="shared" si="15"/>
        <v>0</v>
      </c>
      <c r="AB112" s="228" t="str">
        <f t="shared" si="16"/>
        <v>GoldMitsui Mining and Smelting Co., Ltd.</v>
      </c>
    </row>
    <row r="113" spans="1:28" s="227" customFormat="1" ht="202.5">
      <c r="A113" s="181"/>
      <c r="B113" s="182" t="s">
        <v>1098</v>
      </c>
      <c r="C113" s="186" t="s">
        <v>1131</v>
      </c>
      <c r="D113" s="230" t="s">
        <v>1131</v>
      </c>
      <c r="E113" s="182" t="s">
        <v>1077</v>
      </c>
      <c r="F113" s="182" t="s">
        <v>691</v>
      </c>
      <c r="G113" s="182" t="s">
        <v>13177</v>
      </c>
      <c r="H113" s="183" t="s">
        <v>16062</v>
      </c>
      <c r="I113" s="184" t="s">
        <v>1509</v>
      </c>
      <c r="J113" s="184" t="s">
        <v>1509</v>
      </c>
      <c r="K113" s="224"/>
      <c r="L113" s="224"/>
      <c r="M113" s="224"/>
      <c r="N113" s="224" t="s">
        <v>15988</v>
      </c>
      <c r="O113" s="224" t="s">
        <v>16063</v>
      </c>
      <c r="P113" s="185"/>
      <c r="Q113" s="225" t="s">
        <v>15840</v>
      </c>
      <c r="R113" s="182" t="str">
        <f ca="1">IF(ISERROR($V113),"",OFFSET('Smelter Look-up'!$C$4,$V113-4,0)&amp;"")</f>
        <v>Mitsubishi Materials Corporation</v>
      </c>
      <c r="S113" s="181" t="str">
        <f t="shared" ca="1" si="14"/>
        <v>JP</v>
      </c>
      <c r="T113" s="181" t="str">
        <f ca="1">IF(B113="","",IF(ISERROR(MATCH($J113,SorP!$B$1:$B$6226,0)),"",INDIRECT("'SorP'!$A$"&amp;MATCH($S113&amp;$J113,SorP!C:C,0))))</f>
        <v>JP-13</v>
      </c>
      <c r="U113" s="201"/>
      <c r="V113" s="226">
        <f>IF(C113="",NA(),IF(OR(C113="Smelter not listed",C113="Smelter not yet identified"),MATCH($B113&amp;$D113,'Smelter Look-up'!$J:$J,0),MATCH($B113&amp;$C113,'Smelter Look-up'!$J:$J,0)))</f>
        <v>189</v>
      </c>
      <c r="X113" s="227">
        <f t="shared" si="15"/>
        <v>0</v>
      </c>
      <c r="AB113" s="228" t="str">
        <f t="shared" si="16"/>
        <v>GoldMitsubishi Materials Corporation</v>
      </c>
    </row>
    <row r="114" spans="1:28" s="227" customFormat="1" ht="67.5">
      <c r="A114" s="181"/>
      <c r="B114" s="182" t="s">
        <v>1098</v>
      </c>
      <c r="C114" s="186" t="s">
        <v>12376</v>
      </c>
      <c r="D114" s="230" t="s">
        <v>12376</v>
      </c>
      <c r="E114" s="182" t="s">
        <v>1082</v>
      </c>
      <c r="F114" s="182" t="s">
        <v>690</v>
      </c>
      <c r="G114" s="182" t="s">
        <v>13177</v>
      </c>
      <c r="H114" s="183" t="s">
        <v>16064</v>
      </c>
      <c r="I114" s="184" t="s">
        <v>1592</v>
      </c>
      <c r="J114" s="184" t="s">
        <v>12832</v>
      </c>
      <c r="K114" s="224"/>
      <c r="L114" s="224"/>
      <c r="M114" s="224"/>
      <c r="N114" s="224" t="s">
        <v>16065</v>
      </c>
      <c r="O114" s="224" t="s">
        <v>16066</v>
      </c>
      <c r="P114" s="185"/>
      <c r="Q114" s="225" t="s">
        <v>15840</v>
      </c>
      <c r="R114" s="182" t="str">
        <f ca="1">IF(ISERROR($V114),"",OFFSET('Smelter Look-up'!$C$4,$V114-4,0)&amp;"")</f>
        <v>Metalurgica Met-Mex Penoles S.A. De C.V.</v>
      </c>
      <c r="S114" s="181" t="str">
        <f t="shared" ca="1" si="14"/>
        <v>MX</v>
      </c>
      <c r="T114" s="181" t="str">
        <f ca="1">IF(B114="","",IF(ISERROR(MATCH($J114,SorP!$B$1:$B$6226,0)),"",INDIRECT("'SorP'!$A$"&amp;MATCH($S114&amp;$J114,SorP!C:C,0))))</f>
        <v>MX-COA</v>
      </c>
      <c r="U114" s="201"/>
      <c r="V114" s="226">
        <f>IF(C114="",NA(),IF(OR(C114="Smelter not listed",C114="Smelter not yet identified"),MATCH($B114&amp;$D114,'Smelter Look-up'!$J:$J,0),MATCH($B114&amp;$C114,'Smelter Look-up'!$J:$J,0)))</f>
        <v>183</v>
      </c>
      <c r="X114" s="227">
        <f t="shared" si="15"/>
        <v>0</v>
      </c>
      <c r="AB114" s="228" t="str">
        <f t="shared" si="16"/>
        <v>GoldMetalurgica Met-Mex Penoles S.A. De C.V.</v>
      </c>
    </row>
    <row r="115" spans="1:28" s="227" customFormat="1" ht="108">
      <c r="A115" s="181"/>
      <c r="B115" s="182" t="s">
        <v>1098</v>
      </c>
      <c r="C115" s="186" t="s">
        <v>1195</v>
      </c>
      <c r="D115" s="230" t="s">
        <v>1195</v>
      </c>
      <c r="E115" s="182" t="s">
        <v>2384</v>
      </c>
      <c r="F115" s="182" t="s">
        <v>689</v>
      </c>
      <c r="G115" s="182" t="s">
        <v>13177</v>
      </c>
      <c r="H115" s="183" t="s">
        <v>16067</v>
      </c>
      <c r="I115" s="184" t="s">
        <v>1590</v>
      </c>
      <c r="J115" s="184" t="s">
        <v>1591</v>
      </c>
      <c r="K115" s="224"/>
      <c r="L115" s="224"/>
      <c r="M115" s="224"/>
      <c r="N115" s="224" t="s">
        <v>16068</v>
      </c>
      <c r="O115" s="224" t="s">
        <v>16069</v>
      </c>
      <c r="P115" s="185"/>
      <c r="Q115" s="225" t="s">
        <v>15840</v>
      </c>
      <c r="R115" s="182" t="str">
        <f ca="1">IF(ISERROR($V115),"",OFFSET('Smelter Look-up'!$C$4,$V115-4,0)&amp;"")</f>
        <v>Metalor USA Refining Corporation</v>
      </c>
      <c r="S115" s="181" t="str">
        <f t="shared" ca="1" si="14"/>
        <v>US</v>
      </c>
      <c r="T115" s="181" t="str">
        <f ca="1">IF(B115="","",IF(ISERROR(MATCH($J115,SorP!$B$1:$B$6226,0)),"",INDIRECT("'SorP'!$A$"&amp;MATCH($S115&amp;$J115,SorP!C:C,0))))</f>
        <v>US-MA</v>
      </c>
      <c r="U115" s="201"/>
      <c r="V115" s="226">
        <f>IF(C115="",NA(),IF(OR(C115="Smelter not listed",C115="Smelter not yet identified"),MATCH($B115&amp;$D115,'Smelter Look-up'!$J:$J,0),MATCH($B115&amp;$C115,'Smelter Look-up'!$J:$J,0)))</f>
        <v>182</v>
      </c>
      <c r="X115" s="227">
        <f t="shared" si="15"/>
        <v>0</v>
      </c>
      <c r="AB115" s="228" t="str">
        <f t="shared" si="16"/>
        <v>GoldMetalor USA Refining Corporation</v>
      </c>
    </row>
    <row r="116" spans="1:28" s="227" customFormat="1" ht="162">
      <c r="A116" s="181"/>
      <c r="B116" s="182" t="s">
        <v>1098</v>
      </c>
      <c r="C116" s="186" t="s">
        <v>2257</v>
      </c>
      <c r="D116" s="230" t="s">
        <v>2257</v>
      </c>
      <c r="E116" s="182" t="s">
        <v>1067</v>
      </c>
      <c r="F116" s="182" t="s">
        <v>688</v>
      </c>
      <c r="G116" s="182" t="s">
        <v>13177</v>
      </c>
      <c r="H116" s="183" t="s">
        <v>16070</v>
      </c>
      <c r="I116" s="184" t="s">
        <v>1588</v>
      </c>
      <c r="J116" s="184" t="s">
        <v>1589</v>
      </c>
      <c r="K116" s="224"/>
      <c r="L116" s="224"/>
      <c r="M116" s="224"/>
      <c r="N116" s="224" t="s">
        <v>16068</v>
      </c>
      <c r="O116" s="224" t="s">
        <v>16071</v>
      </c>
      <c r="P116" s="185"/>
      <c r="Q116" s="225" t="s">
        <v>15840</v>
      </c>
      <c r="R116" s="182" t="str">
        <f ca="1">IF(ISERROR($V116),"",OFFSET('Smelter Look-up'!$C$4,$V116-4,0)&amp;"")</f>
        <v>Metalor Technologies S.A.</v>
      </c>
      <c r="S116" s="181" t="str">
        <f t="shared" ca="1" si="14"/>
        <v>CH</v>
      </c>
      <c r="T116" s="181" t="str">
        <f ca="1">IF(B116="","",IF(ISERROR(MATCH($J116,SorP!$B$1:$B$6226,0)),"",INDIRECT("'SorP'!$A$"&amp;MATCH($S116&amp;$J116,SorP!C:C,0))))</f>
        <v>CH-NE</v>
      </c>
      <c r="U116" s="201"/>
      <c r="V116" s="226">
        <f>IF(C116="",NA(),IF(OR(C116="Smelter not listed",C116="Smelter not yet identified"),MATCH($B116&amp;$D116,'Smelter Look-up'!$J:$J,0),MATCH($B116&amp;$C116,'Smelter Look-up'!$J:$J,0)))</f>
        <v>181</v>
      </c>
      <c r="X116" s="227">
        <f t="shared" si="15"/>
        <v>0</v>
      </c>
      <c r="AB116" s="228" t="str">
        <f t="shared" si="16"/>
        <v>GoldMetalor Technologies S.A.</v>
      </c>
    </row>
    <row r="117" spans="1:28" s="227" customFormat="1" ht="81">
      <c r="A117" s="181"/>
      <c r="B117" s="182" t="s">
        <v>1098</v>
      </c>
      <c r="C117" s="186" t="s">
        <v>2106</v>
      </c>
      <c r="D117" s="230" t="s">
        <v>2106</v>
      </c>
      <c r="E117" s="182" t="s">
        <v>857</v>
      </c>
      <c r="F117" s="182" t="s">
        <v>687</v>
      </c>
      <c r="G117" s="182" t="s">
        <v>13177</v>
      </c>
      <c r="H117" s="183" t="s">
        <v>16072</v>
      </c>
      <c r="I117" s="184" t="s">
        <v>12670</v>
      </c>
      <c r="J117" s="184" t="s">
        <v>10242</v>
      </c>
      <c r="K117" s="224"/>
      <c r="L117" s="224"/>
      <c r="M117" s="224"/>
      <c r="N117" s="224" t="s">
        <v>16068</v>
      </c>
      <c r="O117" s="224" t="s">
        <v>16073</v>
      </c>
      <c r="P117" s="185"/>
      <c r="Q117" s="225" t="s">
        <v>15840</v>
      </c>
      <c r="R117" s="182" t="str">
        <f ca="1">IF(ISERROR($V117),"",OFFSET('Smelter Look-up'!$C$4,$V117-4,0)&amp;"")</f>
        <v>Metalor Technologies (Singapore) Pte., Ltd.</v>
      </c>
      <c r="S117" s="181" t="str">
        <f t="shared" ca="1" si="14"/>
        <v>SG</v>
      </c>
      <c r="T117" s="181" t="str">
        <f ca="1">IF(B117="","",IF(ISERROR(MATCH($J117,SorP!$B$1:$B$6226,0)),"",INDIRECT("'SorP'!$A$"&amp;MATCH($S117&amp;$J117,SorP!C:C,0))))</f>
        <v>SG-05</v>
      </c>
      <c r="U117" s="201"/>
      <c r="V117" s="226">
        <f>IF(C117="",NA(),IF(OR(C117="Smelter not listed",C117="Smelter not yet identified"),MATCH($B117&amp;$D117,'Smelter Look-up'!$J:$J,0),MATCH($B117&amp;$C117,'Smelter Look-up'!$J:$J,0)))</f>
        <v>179</v>
      </c>
      <c r="X117" s="227">
        <f t="shared" si="15"/>
        <v>0</v>
      </c>
      <c r="AB117" s="228" t="str">
        <f t="shared" si="16"/>
        <v>GoldMetalor Technologies (Singapore) Pte., Ltd.</v>
      </c>
    </row>
    <row r="118" spans="1:28" s="227" customFormat="1" ht="81">
      <c r="A118" s="181"/>
      <c r="B118" s="182" t="s">
        <v>1098</v>
      </c>
      <c r="C118" s="186" t="s">
        <v>2105</v>
      </c>
      <c r="D118" s="230" t="s">
        <v>2105</v>
      </c>
      <c r="E118" s="182" t="s">
        <v>1069</v>
      </c>
      <c r="F118" s="182" t="s">
        <v>686</v>
      </c>
      <c r="G118" s="182" t="s">
        <v>13177</v>
      </c>
      <c r="H118" s="183" t="s">
        <v>16074</v>
      </c>
      <c r="I118" s="184" t="s">
        <v>1587</v>
      </c>
      <c r="J118" s="184" t="s">
        <v>15604</v>
      </c>
      <c r="K118" s="224"/>
      <c r="L118" s="224"/>
      <c r="M118" s="224"/>
      <c r="N118" s="224" t="s">
        <v>16068</v>
      </c>
      <c r="O118" s="224" t="s">
        <v>16075</v>
      </c>
      <c r="P118" s="185"/>
      <c r="Q118" s="225" t="s">
        <v>15840</v>
      </c>
      <c r="R118" s="182" t="str">
        <f ca="1">IF(ISERROR($V118),"",OFFSET('Smelter Look-up'!$C$4,$V118-4,0)&amp;"")</f>
        <v>Metalor Technologies (Hong Kong) Ltd.</v>
      </c>
      <c r="S118" s="181" t="str">
        <f t="shared" ca="1" si="14"/>
        <v>CN</v>
      </c>
      <c r="T118" s="181" t="str">
        <f ca="1">IF(B118="","",IF(ISERROR(MATCH($J118,SorP!$B$1:$B$6226,0)),"",INDIRECT("'SorP'!$A$"&amp;MATCH($S118&amp;$J118,SorP!C:C,0))))</f>
        <v>CN-HK</v>
      </c>
      <c r="U118" s="201"/>
      <c r="V118" s="226">
        <f>IF(C118="",NA(),IF(OR(C118="Smelter not listed",C118="Smelter not yet identified"),MATCH($B118&amp;$D118,'Smelter Look-up'!$J:$J,0),MATCH($B118&amp;$C118,'Smelter Look-up'!$J:$J,0)))</f>
        <v>178</v>
      </c>
      <c r="X118" s="227">
        <f t="shared" si="15"/>
        <v>0</v>
      </c>
      <c r="AB118" s="228" t="str">
        <f t="shared" si="16"/>
        <v>GoldMetalor Technologies (Hong Kong) Ltd.</v>
      </c>
    </row>
    <row r="119" spans="1:28" s="227" customFormat="1" ht="81">
      <c r="A119" s="181"/>
      <c r="B119" s="182" t="s">
        <v>1098</v>
      </c>
      <c r="C119" s="186" t="s">
        <v>1585</v>
      </c>
      <c r="D119" s="230" t="s">
        <v>1585</v>
      </c>
      <c r="E119" s="182" t="s">
        <v>1069</v>
      </c>
      <c r="F119" s="182" t="s">
        <v>1586</v>
      </c>
      <c r="G119" s="182" t="s">
        <v>13177</v>
      </c>
      <c r="H119" s="183" t="s">
        <v>16076</v>
      </c>
      <c r="I119" s="184" t="s">
        <v>16077</v>
      </c>
      <c r="J119" s="184" t="s">
        <v>13544</v>
      </c>
      <c r="K119" s="224"/>
      <c r="L119" s="224"/>
      <c r="M119" s="224"/>
      <c r="N119" s="224" t="s">
        <v>16078</v>
      </c>
      <c r="O119" s="224" t="s">
        <v>16079</v>
      </c>
      <c r="P119" s="185"/>
      <c r="Q119" s="225" t="s">
        <v>15840</v>
      </c>
      <c r="R119" s="182" t="str">
        <f ca="1">IF(ISERROR($V119),"",OFFSET('Smelter Look-up'!$C$4,$V119-4,0)&amp;"")</f>
        <v>Metalor Technologies (Suzhou) Ltd.</v>
      </c>
      <c r="S119" s="181" t="str">
        <f t="shared" ca="1" si="14"/>
        <v>CN</v>
      </c>
      <c r="T119" s="181" t="str">
        <f ca="1">IF(B119="","",IF(ISERROR(MATCH($J119,SorP!$B$1:$B$6226,0)),"",INDIRECT("'SorP'!$A$"&amp;MATCH($S119&amp;$J119,SorP!C:C,0))))</f>
        <v>CN-JS</v>
      </c>
      <c r="U119" s="201"/>
      <c r="V119" s="226">
        <f>IF(C119="",NA(),IF(OR(C119="Smelter not listed",C119="Smelter not yet identified"),MATCH($B119&amp;$D119,'Smelter Look-up'!$J:$J,0),MATCH($B119&amp;$C119,'Smelter Look-up'!$J:$J,0)))</f>
        <v>180</v>
      </c>
      <c r="X119" s="227">
        <f t="shared" si="15"/>
        <v>0</v>
      </c>
      <c r="AB119" s="228" t="str">
        <f t="shared" si="16"/>
        <v>GoldMetalor Technologies (Suzhou) Ltd.</v>
      </c>
    </row>
    <row r="120" spans="1:28" s="227" customFormat="1" ht="216">
      <c r="A120" s="181"/>
      <c r="B120" s="182" t="s">
        <v>1098</v>
      </c>
      <c r="C120" s="186" t="s">
        <v>53</v>
      </c>
      <c r="D120" s="230" t="s">
        <v>53</v>
      </c>
      <c r="E120" s="182" t="s">
        <v>1077</v>
      </c>
      <c r="F120" s="182" t="s">
        <v>685</v>
      </c>
      <c r="G120" s="182" t="s">
        <v>13177</v>
      </c>
      <c r="H120" s="183" t="s">
        <v>16080</v>
      </c>
      <c r="I120" s="184" t="s">
        <v>1584</v>
      </c>
      <c r="J120" s="184" t="s">
        <v>1547</v>
      </c>
      <c r="K120" s="224"/>
      <c r="L120" s="224"/>
      <c r="M120" s="224"/>
      <c r="N120" s="224" t="s">
        <v>15988</v>
      </c>
      <c r="O120" s="224" t="s">
        <v>16081</v>
      </c>
      <c r="P120" s="185"/>
      <c r="Q120" s="225" t="s">
        <v>15840</v>
      </c>
      <c r="R120" s="182" t="str">
        <f ca="1">IF(ISERROR($V120),"",OFFSET('Smelter Look-up'!$C$4,$V120-4,0)&amp;"")</f>
        <v>Matsuda Sangyo Co., Ltd.</v>
      </c>
      <c r="S120" s="181" t="str">
        <f t="shared" ca="1" si="14"/>
        <v>JP</v>
      </c>
      <c r="T120" s="181" t="str">
        <f ca="1">IF(B120="","",IF(ISERROR(MATCH($J120,SorP!$B$1:$B$6226,0)),"",INDIRECT("'SorP'!$A$"&amp;MATCH($S120&amp;$J120,SorP!C:C,0))))</f>
        <v>JP-11</v>
      </c>
      <c r="U120" s="201"/>
      <c r="V120" s="226">
        <f>IF(C120="",NA(),IF(OR(C120="Smelter not listed",C120="Smelter not yet identified"),MATCH($B120&amp;$D120,'Smelter Look-up'!$J:$J,0),MATCH($B120&amp;$C120,'Smelter Look-up'!$J:$J,0)))</f>
        <v>170</v>
      </c>
      <c r="X120" s="227">
        <f t="shared" si="15"/>
        <v>0</v>
      </c>
      <c r="AB120" s="228" t="str">
        <f t="shared" si="16"/>
        <v>GoldMatsuda Sangyo Co., Ltd.</v>
      </c>
    </row>
    <row r="121" spans="1:28" s="227" customFormat="1" ht="229.5">
      <c r="A121" s="181"/>
      <c r="B121" s="182" t="s">
        <v>1098</v>
      </c>
      <c r="C121" s="186" t="s">
        <v>881</v>
      </c>
      <c r="D121" s="230" t="s">
        <v>881</v>
      </c>
      <c r="E121" s="182" t="s">
        <v>2384</v>
      </c>
      <c r="F121" s="182" t="s">
        <v>684</v>
      </c>
      <c r="G121" s="182" t="s">
        <v>13177</v>
      </c>
      <c r="H121" s="183" t="s">
        <v>16082</v>
      </c>
      <c r="I121" s="184" t="s">
        <v>1582</v>
      </c>
      <c r="J121" s="184" t="s">
        <v>1583</v>
      </c>
      <c r="K121" s="224"/>
      <c r="L121" s="224"/>
      <c r="M121" s="224"/>
      <c r="N121" s="224" t="s">
        <v>15861</v>
      </c>
      <c r="O121" s="224" t="s">
        <v>16083</v>
      </c>
      <c r="P121" s="185"/>
      <c r="Q121" s="225" t="s">
        <v>15840</v>
      </c>
      <c r="R121" s="182" t="str">
        <f ca="1">IF(ISERROR($V121),"",OFFSET('Smelter Look-up'!$C$4,$V121-4,0)&amp;"")</f>
        <v>Materion</v>
      </c>
      <c r="S121" s="181" t="str">
        <f t="shared" ca="1" si="14"/>
        <v>US</v>
      </c>
      <c r="T121" s="181" t="str">
        <f ca="1">IF(B121="","",IF(ISERROR(MATCH($J121,SorP!$B$1:$B$6226,0)),"",INDIRECT("'SorP'!$A$"&amp;MATCH($S121&amp;$J121,SorP!C:C,0))))</f>
        <v>US-NY</v>
      </c>
      <c r="U121" s="201"/>
      <c r="V121" s="226">
        <f>IF(C121="",NA(),IF(OR(C121="Smelter not listed",C121="Smelter not yet identified"),MATCH($B121&amp;$D121,'Smelter Look-up'!$J:$J,0),MATCH($B121&amp;$C121,'Smelter Look-up'!$J:$J,0)))</f>
        <v>169</v>
      </c>
      <c r="X121" s="227">
        <f t="shared" si="15"/>
        <v>0</v>
      </c>
      <c r="AB121" s="228" t="str">
        <f t="shared" si="16"/>
        <v>GoldMaterion</v>
      </c>
    </row>
    <row r="122" spans="1:28" s="227" customFormat="1" ht="54">
      <c r="A122" s="181"/>
      <c r="B122" s="182" t="s">
        <v>1098</v>
      </c>
      <c r="C122" s="186" t="s">
        <v>1580</v>
      </c>
      <c r="D122" s="230" t="s">
        <v>1580</v>
      </c>
      <c r="E122" s="182" t="s">
        <v>1069</v>
      </c>
      <c r="F122" s="182" t="s">
        <v>683</v>
      </c>
      <c r="G122" s="182" t="s">
        <v>13177</v>
      </c>
      <c r="H122" s="183" t="s">
        <v>16084</v>
      </c>
      <c r="I122" s="184" t="s">
        <v>1581</v>
      </c>
      <c r="J122" s="184" t="s">
        <v>13533</v>
      </c>
      <c r="K122" s="224"/>
      <c r="L122" s="224"/>
      <c r="M122" s="224"/>
      <c r="N122" s="224">
        <v>-2146826246</v>
      </c>
      <c r="O122" s="224" t="s">
        <v>16085</v>
      </c>
      <c r="P122" s="185"/>
      <c r="Q122" s="225"/>
      <c r="R122" s="182" t="str">
        <f ca="1">IF(ISERROR($V122),"",OFFSET('Smelter Look-up'!$C$4,$V122-4,0)&amp;"")</f>
        <v>Luoyang Zijin Yinhui Gold Refinery Co., Ltd.</v>
      </c>
      <c r="S122" s="181" t="str">
        <f t="shared" ca="1" si="14"/>
        <v>CN</v>
      </c>
      <c r="T122" s="181" t="str">
        <f ca="1">IF(B122="","",IF(ISERROR(MATCH($J122,SorP!$B$1:$B$6226,0)),"",INDIRECT("'SorP'!$A$"&amp;MATCH($S122&amp;$J122,SorP!C:C,0))))</f>
        <v>CN-HA</v>
      </c>
      <c r="U122" s="201"/>
      <c r="V122" s="226">
        <f>IF(C122="",NA(),IF(OR(C122="Smelter not listed",C122="Smelter not yet identified"),MATCH($B122&amp;$D122,'Smelter Look-up'!$J:$J,0),MATCH($B122&amp;$C122,'Smelter Look-up'!$J:$J,0)))</f>
        <v>165</v>
      </c>
      <c r="X122" s="227">
        <f t="shared" si="15"/>
        <v>0</v>
      </c>
      <c r="AB122" s="228" t="str">
        <f t="shared" si="16"/>
        <v>GoldLuoyang Zijin Yinhui Gold Refinery Co., Ltd.</v>
      </c>
    </row>
    <row r="123" spans="1:28" s="227" customFormat="1" ht="148.5">
      <c r="A123" s="181"/>
      <c r="B123" s="182" t="s">
        <v>1098</v>
      </c>
      <c r="C123" s="186" t="s">
        <v>16086</v>
      </c>
      <c r="D123" s="230" t="s">
        <v>16086</v>
      </c>
      <c r="E123" s="182" t="s">
        <v>1080</v>
      </c>
      <c r="F123" s="182" t="s">
        <v>681</v>
      </c>
      <c r="G123" s="182" t="s">
        <v>13177</v>
      </c>
      <c r="H123" s="183" t="s">
        <v>16087</v>
      </c>
      <c r="I123" s="184" t="s">
        <v>1579</v>
      </c>
      <c r="J123" s="184" t="s">
        <v>12814</v>
      </c>
      <c r="K123" s="224"/>
      <c r="L123" s="224"/>
      <c r="M123" s="224"/>
      <c r="N123" s="224" t="s">
        <v>15988</v>
      </c>
      <c r="O123" s="224" t="s">
        <v>16088</v>
      </c>
      <c r="P123" s="185"/>
      <c r="Q123" s="225" t="s">
        <v>15840</v>
      </c>
      <c r="R123" s="182" t="str">
        <f ca="1">IF(ISERROR($V123),"",OFFSET('Smelter Look-up'!$C$4,$V123-4,0)&amp;"")</f>
        <v/>
      </c>
      <c r="S123" s="181" t="str">
        <f t="shared" ca="1" si="14"/>
        <v>KR</v>
      </c>
      <c r="T123" s="181" t="str">
        <f ca="1">IF(B123="","",IF(ISERROR(MATCH($J123,SorP!$B$1:$B$6226,0)),"",INDIRECT("'SorP'!$A$"&amp;MATCH($S123&amp;$J123,SorP!C:C,0))))</f>
        <v>KR-31</v>
      </c>
      <c r="U123" s="201"/>
      <c r="V123" s="226" t="e">
        <f>IF(C123="",NA(),IF(OR(C123="Smelter not listed",C123="Smelter not yet identified"),MATCH($B123&amp;$D123,'Smelter Look-up'!$J:$J,0),MATCH($B123&amp;$C123,'Smelter Look-up'!$J:$J,0)))</f>
        <v>#N/A</v>
      </c>
      <c r="X123" s="227">
        <f t="shared" si="15"/>
        <v>0</v>
      </c>
      <c r="AB123" s="228" t="str">
        <f t="shared" si="16"/>
        <v>GoldLS-NIKKO Copper Inc.</v>
      </c>
    </row>
    <row r="124" spans="1:28" s="227" customFormat="1" ht="27">
      <c r="A124" s="181"/>
      <c r="B124" s="182" t="s">
        <v>1098</v>
      </c>
      <c r="C124" s="186" t="s">
        <v>2103</v>
      </c>
      <c r="D124" s="230" t="s">
        <v>2103</v>
      </c>
      <c r="E124" s="182" t="s">
        <v>1069</v>
      </c>
      <c r="F124" s="182" t="s">
        <v>680</v>
      </c>
      <c r="G124" s="182" t="s">
        <v>13177</v>
      </c>
      <c r="H124" s="183" t="s">
        <v>16089</v>
      </c>
      <c r="I124" s="184" t="s">
        <v>1578</v>
      </c>
      <c r="J124" s="184" t="s">
        <v>13533</v>
      </c>
      <c r="K124" s="224"/>
      <c r="L124" s="224"/>
      <c r="M124" s="224"/>
      <c r="N124" s="224">
        <v>-2146826246</v>
      </c>
      <c r="O124" s="224" t="s">
        <v>16090</v>
      </c>
      <c r="P124" s="185"/>
      <c r="Q124" s="225"/>
      <c r="R124" s="182" t="str">
        <f ca="1">IF(ISERROR($V124),"",OFFSET('Smelter Look-up'!$C$4,$V124-4,0)&amp;"")</f>
        <v>Lingbao Jinyuan Tonghui Refinery Co., Ltd.</v>
      </c>
      <c r="S124" s="181" t="str">
        <f t="shared" ca="1" si="14"/>
        <v>CN</v>
      </c>
      <c r="T124" s="181" t="str">
        <f ca="1">IF(B124="","",IF(ISERROR(MATCH($J124,SorP!$B$1:$B$6226,0)),"",INDIRECT("'SorP'!$A$"&amp;MATCH($S124&amp;$J124,SorP!C:C,0))))</f>
        <v>CN-HA</v>
      </c>
      <c r="U124" s="201"/>
      <c r="V124" s="226">
        <f>IF(C124="",NA(),IF(OR(C124="Smelter not listed",C124="Smelter not yet identified"),MATCH($B124&amp;$D124,'Smelter Look-up'!$J:$J,0),MATCH($B124&amp;$C124,'Smelter Look-up'!$J:$J,0)))</f>
        <v>161</v>
      </c>
      <c r="X124" s="227">
        <f t="shared" si="15"/>
        <v>0</v>
      </c>
      <c r="AB124" s="228" t="str">
        <f t="shared" si="16"/>
        <v>GoldLingbao Jinyuan Tonghui Refinery Co., Ltd.</v>
      </c>
    </row>
    <row r="125" spans="1:28" s="227" customFormat="1" ht="40.5">
      <c r="A125" s="181"/>
      <c r="B125" s="182" t="s">
        <v>1098</v>
      </c>
      <c r="C125" s="186" t="s">
        <v>2256</v>
      </c>
      <c r="D125" s="230" t="s">
        <v>2256</v>
      </c>
      <c r="E125" s="182" t="s">
        <v>1069</v>
      </c>
      <c r="F125" s="182" t="s">
        <v>1355</v>
      </c>
      <c r="G125" s="182" t="s">
        <v>13177</v>
      </c>
      <c r="H125" s="183" t="s">
        <v>16089</v>
      </c>
      <c r="I125" s="184" t="s">
        <v>1578</v>
      </c>
      <c r="J125" s="184" t="s">
        <v>13533</v>
      </c>
      <c r="K125" s="224"/>
      <c r="L125" s="224"/>
      <c r="M125" s="224"/>
      <c r="N125" s="224">
        <v>-2146826246</v>
      </c>
      <c r="O125" s="224" t="s">
        <v>16091</v>
      </c>
      <c r="P125" s="185"/>
      <c r="Q125" s="225"/>
      <c r="R125" s="182" t="str">
        <f ca="1">IF(ISERROR($V125),"",OFFSET('Smelter Look-up'!$C$4,$V125-4,0)&amp;"")</f>
        <v>Lingbao Gold Co., Ltd.</v>
      </c>
      <c r="S125" s="181" t="str">
        <f t="shared" ca="1" si="14"/>
        <v>CN</v>
      </c>
      <c r="T125" s="181" t="str">
        <f ca="1">IF(B125="","",IF(ISERROR(MATCH($J125,SorP!$B$1:$B$6226,0)),"",INDIRECT("'SorP'!$A$"&amp;MATCH($S125&amp;$J125,SorP!C:C,0))))</f>
        <v>CN-HA</v>
      </c>
      <c r="U125" s="201"/>
      <c r="V125" s="226">
        <f>IF(C125="",NA(),IF(OR(C125="Smelter not listed",C125="Smelter not yet identified"),MATCH($B125&amp;$D125,'Smelter Look-up'!$J:$J,0),MATCH($B125&amp;$C125,'Smelter Look-up'!$J:$J,0)))</f>
        <v>160</v>
      </c>
      <c r="X125" s="227">
        <f t="shared" si="15"/>
        <v>0</v>
      </c>
      <c r="AB125" s="228" t="str">
        <f t="shared" si="16"/>
        <v>GoldLingbao Gold Co., Ltd.</v>
      </c>
    </row>
    <row r="126" spans="1:28" s="227" customFormat="1" ht="67.5">
      <c r="A126" s="181"/>
      <c r="B126" s="182" t="s">
        <v>1098</v>
      </c>
      <c r="C126" s="186" t="s">
        <v>2255</v>
      </c>
      <c r="D126" s="230" t="s">
        <v>2255</v>
      </c>
      <c r="E126" s="182" t="s">
        <v>855</v>
      </c>
      <c r="F126" s="182" t="s">
        <v>679</v>
      </c>
      <c r="G126" s="182" t="s">
        <v>13177</v>
      </c>
      <c r="H126" s="183" t="s">
        <v>16092</v>
      </c>
      <c r="I126" s="184" t="s">
        <v>1577</v>
      </c>
      <c r="J126" s="184" t="s">
        <v>10034</v>
      </c>
      <c r="K126" s="224"/>
      <c r="L126" s="224"/>
      <c r="M126" s="224"/>
      <c r="N126" s="224">
        <v>-2146826246</v>
      </c>
      <c r="O126" s="224" t="s">
        <v>16093</v>
      </c>
      <c r="P126" s="185"/>
      <c r="Q126" s="225"/>
      <c r="R126" s="182" t="str">
        <f ca="1">IF(ISERROR($V126),"",OFFSET('Smelter Look-up'!$C$4,$V126-4,0)&amp;"")</f>
        <v>L'azurde Company For Jewelry</v>
      </c>
      <c r="S126" s="181" t="str">
        <f t="shared" ca="1" si="14"/>
        <v>SA</v>
      </c>
      <c r="T126" s="181" t="str">
        <f ca="1">IF(B126="","",IF(ISERROR(MATCH($J126,SorP!$B$1:$B$6226,0)),"",INDIRECT("'SorP'!$A$"&amp;MATCH($S126&amp;$J126,SorP!C:C,0))))</f>
        <v>SA-01</v>
      </c>
      <c r="U126" s="201"/>
      <c r="V126" s="226">
        <f>IF(C126="",NA(),IF(OR(C126="Smelter not listed",C126="Smelter not yet identified"),MATCH($B126&amp;$D126,'Smelter Look-up'!$J:$J,0),MATCH($B126&amp;$C126,'Smelter Look-up'!$J:$J,0)))</f>
        <v>158</v>
      </c>
      <c r="X126" s="227">
        <f t="shared" si="15"/>
        <v>0</v>
      </c>
      <c r="AB126" s="228" t="str">
        <f t="shared" si="16"/>
        <v>GoldL'azurde Company For Jewelry</v>
      </c>
    </row>
    <row r="127" spans="1:28" s="227" customFormat="1" ht="54">
      <c r="A127" s="181"/>
      <c r="B127" s="182" t="s">
        <v>1098</v>
      </c>
      <c r="C127" s="186" t="s">
        <v>817</v>
      </c>
      <c r="D127" s="230" t="s">
        <v>817</v>
      </c>
      <c r="E127" s="182" t="s">
        <v>1079</v>
      </c>
      <c r="F127" s="182" t="s">
        <v>678</v>
      </c>
      <c r="G127" s="182" t="s">
        <v>13177</v>
      </c>
      <c r="H127" s="183" t="s">
        <v>16094</v>
      </c>
      <c r="I127" s="184" t="s">
        <v>1576</v>
      </c>
      <c r="J127" s="184" t="s">
        <v>12807</v>
      </c>
      <c r="K127" s="224"/>
      <c r="L127" s="224"/>
      <c r="M127" s="224"/>
      <c r="N127" s="224">
        <v>-2146826246</v>
      </c>
      <c r="O127" s="224" t="s">
        <v>16095</v>
      </c>
      <c r="P127" s="185"/>
      <c r="Q127" s="225" t="s">
        <v>15840</v>
      </c>
      <c r="R127" s="182" t="str">
        <f ca="1">IF(ISERROR($V127),"",OFFSET('Smelter Look-up'!$C$4,$V127-4,0)&amp;"")</f>
        <v>Kyrgyzaltyn JSC</v>
      </c>
      <c r="S127" s="181" t="str">
        <f t="shared" ca="1" si="14"/>
        <v>KG</v>
      </c>
      <c r="T127" s="181" t="str">
        <f ca="1">IF(B127="","",IF(ISERROR(MATCH($J127,SorP!$B$1:$B$6226,0)),"",INDIRECT("'SorP'!$A$"&amp;MATCH($S127&amp;$J127,SorP!C:C,0))))</f>
        <v>KG-C</v>
      </c>
      <c r="U127" s="201"/>
      <c r="V127" s="226">
        <f>IF(C127="",NA(),IF(OR(C127="Smelter not listed",C127="Smelter not yet identified"),MATCH($B127&amp;$D127,'Smelter Look-up'!$J:$J,0),MATCH($B127&amp;$C127,'Smelter Look-up'!$J:$J,0)))</f>
        <v>154</v>
      </c>
      <c r="X127" s="227">
        <f t="shared" si="15"/>
        <v>0</v>
      </c>
      <c r="AB127" s="228" t="str">
        <f t="shared" si="16"/>
        <v>GoldKyrgyzaltyn JSC</v>
      </c>
    </row>
    <row r="128" spans="1:28" s="227" customFormat="1" ht="256.5">
      <c r="A128" s="181"/>
      <c r="B128" s="182" t="s">
        <v>1098</v>
      </c>
      <c r="C128" s="186" t="s">
        <v>2102</v>
      </c>
      <c r="D128" s="230" t="s">
        <v>2102</v>
      </c>
      <c r="E128" s="182" t="s">
        <v>1077</v>
      </c>
      <c r="F128" s="182" t="s">
        <v>677</v>
      </c>
      <c r="G128" s="182" t="s">
        <v>13177</v>
      </c>
      <c r="H128" s="183" t="s">
        <v>16096</v>
      </c>
      <c r="I128" s="184" t="s">
        <v>1574</v>
      </c>
      <c r="J128" s="184" t="s">
        <v>1547</v>
      </c>
      <c r="K128" s="224"/>
      <c r="L128" s="224"/>
      <c r="M128" s="224"/>
      <c r="N128" s="224" t="s">
        <v>15993</v>
      </c>
      <c r="O128" s="224" t="s">
        <v>16097</v>
      </c>
      <c r="P128" s="185"/>
      <c r="Q128" s="225" t="s">
        <v>15840</v>
      </c>
      <c r="R128" s="182" t="str">
        <f ca="1">IF(ISERROR($V128),"",OFFSET('Smelter Look-up'!$C$4,$V128-4,0)&amp;"")</f>
        <v>Kojima Chemicals Co., Ltd.</v>
      </c>
      <c r="S128" s="181" t="str">
        <f t="shared" ca="1" si="14"/>
        <v>JP</v>
      </c>
      <c r="T128" s="181" t="str">
        <f ca="1">IF(B128="","",IF(ISERROR(MATCH($J128,SorP!$B$1:$B$6226,0)),"",INDIRECT("'SorP'!$A$"&amp;MATCH($S128&amp;$J128,SorP!C:C,0))))</f>
        <v>JP-11</v>
      </c>
      <c r="U128" s="201"/>
      <c r="V128" s="226">
        <f>IF(C128="",NA(),IF(OR(C128="Smelter not listed",C128="Smelter not yet identified"),MATCH($B128&amp;$D128,'Smelter Look-up'!$J:$J,0),MATCH($B128&amp;$C128,'Smelter Look-up'!$J:$J,0)))</f>
        <v>147</v>
      </c>
      <c r="X128" s="227">
        <f t="shared" si="15"/>
        <v>0</v>
      </c>
      <c r="AB128" s="228" t="str">
        <f t="shared" si="16"/>
        <v>GoldKojima Chemicals Co., Ltd.</v>
      </c>
    </row>
    <row r="129" spans="1:28" s="227" customFormat="1" ht="216">
      <c r="A129" s="181"/>
      <c r="B129" s="182" t="s">
        <v>1098</v>
      </c>
      <c r="C129" s="186" t="s">
        <v>675</v>
      </c>
      <c r="D129" s="230" t="s">
        <v>675</v>
      </c>
      <c r="E129" s="182" t="s">
        <v>2384</v>
      </c>
      <c r="F129" s="182" t="s">
        <v>676</v>
      </c>
      <c r="G129" s="182" t="s">
        <v>13177</v>
      </c>
      <c r="H129" s="183" t="s">
        <v>16098</v>
      </c>
      <c r="I129" s="184" t="s">
        <v>1573</v>
      </c>
      <c r="J129" s="184" t="s">
        <v>1566</v>
      </c>
      <c r="K129" s="224"/>
      <c r="L129" s="224"/>
      <c r="M129" s="224"/>
      <c r="N129" s="224" t="s">
        <v>15928</v>
      </c>
      <c r="O129" s="224" t="s">
        <v>16099</v>
      </c>
      <c r="P129" s="185"/>
      <c r="Q129" s="225" t="s">
        <v>15840</v>
      </c>
      <c r="R129" s="182" t="str">
        <f ca="1">IF(ISERROR($V129),"",OFFSET('Smelter Look-up'!$C$4,$V129-4,0)&amp;"")</f>
        <v>Kennecott Utah Copper LLC</v>
      </c>
      <c r="S129" s="181" t="str">
        <f t="shared" ca="1" si="14"/>
        <v>US</v>
      </c>
      <c r="T129" s="181" t="str">
        <f ca="1">IF(B129="","",IF(ISERROR(MATCH($J129,SorP!$B$1:$B$6226,0)),"",INDIRECT("'SorP'!$A$"&amp;MATCH($S129&amp;$J129,SorP!C:C,0))))</f>
        <v>US-UT</v>
      </c>
      <c r="U129" s="201"/>
      <c r="V129" s="226">
        <f>IF(C129="",NA(),IF(OR(C129="Smelter not listed",C129="Smelter not yet identified"),MATCH($B129&amp;$D129,'Smelter Look-up'!$J:$J,0),MATCH($B129&amp;$C129,'Smelter Look-up'!$J:$J,0)))</f>
        <v>142</v>
      </c>
      <c r="X129" s="227">
        <f t="shared" si="15"/>
        <v>0</v>
      </c>
      <c r="AB129" s="228" t="str">
        <f t="shared" si="16"/>
        <v>GoldKennecott Utah Copper LLC</v>
      </c>
    </row>
    <row r="130" spans="1:28" s="227" customFormat="1" ht="94.5">
      <c r="A130" s="181"/>
      <c r="B130" s="182" t="s">
        <v>1098</v>
      </c>
      <c r="C130" s="186" t="s">
        <v>1571</v>
      </c>
      <c r="D130" s="230" t="s">
        <v>1571</v>
      </c>
      <c r="E130" s="182" t="s">
        <v>1078</v>
      </c>
      <c r="F130" s="182" t="s">
        <v>674</v>
      </c>
      <c r="G130" s="182" t="s">
        <v>13177</v>
      </c>
      <c r="H130" s="183" t="s">
        <v>16100</v>
      </c>
      <c r="I130" s="184" t="s">
        <v>1572</v>
      </c>
      <c r="J130" s="184" t="s">
        <v>7005</v>
      </c>
      <c r="K130" s="224"/>
      <c r="L130" s="224"/>
      <c r="M130" s="224"/>
      <c r="N130" s="224" t="s">
        <v>15928</v>
      </c>
      <c r="O130" s="224" t="s">
        <v>16101</v>
      </c>
      <c r="P130" s="185"/>
      <c r="Q130" s="225" t="s">
        <v>15840</v>
      </c>
      <c r="R130" s="182" t="str">
        <f ca="1">IF(ISERROR($V130),"",OFFSET('Smelter Look-up'!$C$4,$V130-4,0)&amp;"")</f>
        <v>Kazzinc</v>
      </c>
      <c r="S130" s="181" t="str">
        <f t="shared" ca="1" si="14"/>
        <v>KZ</v>
      </c>
      <c r="T130" s="181" t="str">
        <f ca="1">IF(B130="","",IF(ISERROR(MATCH($J130,SorP!$B$1:$B$6226,0)),"",INDIRECT("'SorP'!$A$"&amp;MATCH($S130&amp;$J130,SorP!C:C,0))))</f>
        <v>KZ-KAR</v>
      </c>
      <c r="U130" s="201"/>
      <c r="V130" s="226">
        <f>IF(C130="",NA(),IF(OR(C130="Smelter not listed",C130="Smelter not yet identified"),MATCH($B130&amp;$D130,'Smelter Look-up'!$J:$J,0),MATCH($B130&amp;$C130,'Smelter Look-up'!$J:$J,0)))</f>
        <v>141</v>
      </c>
      <c r="X130" s="227">
        <f t="shared" si="15"/>
        <v>0</v>
      </c>
      <c r="AB130" s="228" t="str">
        <f t="shared" si="16"/>
        <v>GoldKazzinc</v>
      </c>
    </row>
    <row r="131" spans="1:28" s="227" customFormat="1" ht="40.5">
      <c r="A131" s="181"/>
      <c r="B131" s="182" t="s">
        <v>1098</v>
      </c>
      <c r="C131" s="186" t="s">
        <v>2147</v>
      </c>
      <c r="D131" s="230" t="s">
        <v>2147</v>
      </c>
      <c r="E131" s="182" t="s">
        <v>1078</v>
      </c>
      <c r="F131" s="182" t="s">
        <v>2148</v>
      </c>
      <c r="G131" s="182" t="s">
        <v>13177</v>
      </c>
      <c r="H131" s="183" t="s">
        <v>16102</v>
      </c>
      <c r="I131" s="184" t="s">
        <v>2149</v>
      </c>
      <c r="J131" s="184" t="s">
        <v>7005</v>
      </c>
      <c r="K131" s="224"/>
      <c r="L131" s="224"/>
      <c r="M131" s="224"/>
      <c r="N131" s="224">
        <v>-2146826246</v>
      </c>
      <c r="O131" s="224" t="s">
        <v>16103</v>
      </c>
      <c r="P131" s="185"/>
      <c r="Q131" s="225"/>
      <c r="R131" s="182" t="str">
        <f ca="1">IF(ISERROR($V131),"",OFFSET('Smelter Look-up'!$C$4,$V131-4,0)&amp;"")</f>
        <v>Kazakhmys Smelting LLC</v>
      </c>
      <c r="S131" s="181" t="str">
        <f t="shared" ca="1" si="14"/>
        <v>KZ</v>
      </c>
      <c r="T131" s="181" t="str">
        <f ca="1">IF(B131="","",IF(ISERROR(MATCH($J131,SorP!$B$1:$B$6226,0)),"",INDIRECT("'SorP'!$A$"&amp;MATCH($S131&amp;$J131,SorP!C:C,0))))</f>
        <v>KZ-KAR</v>
      </c>
      <c r="U131" s="201"/>
      <c r="V131" s="226">
        <f>IF(C131="",NA(),IF(OR(C131="Smelter not listed",C131="Smelter not yet identified"),MATCH($B131&amp;$D131,'Smelter Look-up'!$J:$J,0),MATCH($B131&amp;$C131,'Smelter Look-up'!$J:$J,0)))</f>
        <v>140</v>
      </c>
      <c r="X131" s="227">
        <f t="shared" si="15"/>
        <v>0</v>
      </c>
      <c r="AB131" s="228" t="str">
        <f t="shared" si="16"/>
        <v>GoldKazakhmys Smelting LLC</v>
      </c>
    </row>
    <row r="132" spans="1:28" s="227" customFormat="1" ht="121.5">
      <c r="A132" s="181"/>
      <c r="B132" s="182" t="s">
        <v>1098</v>
      </c>
      <c r="C132" s="186" t="s">
        <v>52</v>
      </c>
      <c r="D132" s="230" t="s">
        <v>52</v>
      </c>
      <c r="E132" s="182" t="s">
        <v>1077</v>
      </c>
      <c r="F132" s="182" t="s">
        <v>673</v>
      </c>
      <c r="G132" s="182" t="s">
        <v>13177</v>
      </c>
      <c r="H132" s="183" t="s">
        <v>16104</v>
      </c>
      <c r="I132" s="184" t="s">
        <v>16105</v>
      </c>
      <c r="J132" s="184" t="s">
        <v>6611</v>
      </c>
      <c r="K132" s="224"/>
      <c r="L132" s="224"/>
      <c r="M132" s="224"/>
      <c r="N132" s="224" t="s">
        <v>15988</v>
      </c>
      <c r="O132" s="224" t="s">
        <v>16106</v>
      </c>
      <c r="P132" s="185"/>
      <c r="Q132" s="225" t="s">
        <v>15840</v>
      </c>
      <c r="R132" s="182" t="str">
        <f ca="1">IF(ISERROR($V132),"",OFFSET('Smelter Look-up'!$C$4,$V132-4,0)&amp;"")</f>
        <v>JX Nippon Mining &amp; Metals Co., Ltd.</v>
      </c>
      <c r="S132" s="181" t="str">
        <f t="shared" ca="1" si="14"/>
        <v>JP</v>
      </c>
      <c r="T132" s="181" t="str">
        <f ca="1">IF(B132="","",IF(ISERROR(MATCH($J132,SorP!$B$1:$B$6226,0)),"",INDIRECT("'SorP'!$A$"&amp;MATCH($S132&amp;$J132,SorP!C:C,0))))</f>
        <v>JP-44</v>
      </c>
      <c r="U132" s="201"/>
      <c r="V132" s="226">
        <f>IF(C132="",NA(),IF(OR(C132="Smelter not listed",C132="Smelter not yet identified"),MATCH($B132&amp;$D132,'Smelter Look-up'!$J:$J,0),MATCH($B132&amp;$C132,'Smelter Look-up'!$J:$J,0)))</f>
        <v>137</v>
      </c>
      <c r="X132" s="227">
        <f t="shared" si="15"/>
        <v>0</v>
      </c>
      <c r="AB132" s="228" t="str">
        <f t="shared" si="16"/>
        <v>GoldJX Nippon Mining &amp; Metals Co., Ltd.</v>
      </c>
    </row>
    <row r="133" spans="1:28" s="227" customFormat="1" ht="67.5">
      <c r="A133" s="181"/>
      <c r="B133" s="182" t="s">
        <v>1098</v>
      </c>
      <c r="C133" s="186" t="s">
        <v>1371</v>
      </c>
      <c r="D133" s="230" t="s">
        <v>1371</v>
      </c>
      <c r="E133" s="182" t="s">
        <v>854</v>
      </c>
      <c r="F133" s="182" t="s">
        <v>672</v>
      </c>
      <c r="G133" s="182" t="s">
        <v>13177</v>
      </c>
      <c r="H133" s="183" t="s">
        <v>16107</v>
      </c>
      <c r="I133" s="184" t="s">
        <v>1570</v>
      </c>
      <c r="J133" s="184" t="s">
        <v>9890</v>
      </c>
      <c r="K133" s="224"/>
      <c r="L133" s="224"/>
      <c r="M133" s="224"/>
      <c r="N133" s="224">
        <v>-2146826246</v>
      </c>
      <c r="O133" s="224" t="s">
        <v>16108</v>
      </c>
      <c r="P133" s="185"/>
      <c r="Q133" s="225"/>
      <c r="R133" s="182" t="str">
        <f ca="1">IF(ISERROR($V133),"",OFFSET('Smelter Look-up'!$C$4,$V133-4,0)&amp;"")</f>
        <v>JSC Uralelectromed</v>
      </c>
      <c r="S133" s="181" t="str">
        <f t="shared" ref="S133" ca="1" si="17">IF(B133="","",IF(ISERROR(MATCH($E133,CL,0)),"Unknown",INDIRECT("'C'!$A$"&amp;MATCH($E133,CL,0)+1)))</f>
        <v>RU</v>
      </c>
      <c r="T133" s="181" t="str">
        <f ca="1">IF(B133="","",IF(ISERROR(MATCH($J133,SorP!$B$1:$B$6226,0)),"",INDIRECT("'SorP'!$A$"&amp;MATCH($S133&amp;$J133,SorP!C:C,0))))</f>
        <v>RU-SVE</v>
      </c>
      <c r="U133" s="201"/>
      <c r="V133" s="226">
        <f>IF(C133="",NA(),IF(OR(C133="Smelter not listed",C133="Smelter not yet identified"),MATCH($B133&amp;$D133,'Smelter Look-up'!$J:$J,0),MATCH($B133&amp;$C133,'Smelter Look-up'!$J:$J,0)))</f>
        <v>136</v>
      </c>
      <c r="X133" s="227">
        <f t="shared" ref="X133" si="18">IF(AND(C133="Smelter not listed",OR(LEN(D133)=0,LEN(E133)=0)),1,0)</f>
        <v>0</v>
      </c>
      <c r="AB133" s="228" t="str">
        <f t="shared" ref="AB133" si="19">B133&amp;C133</f>
        <v>GoldJSC Uralelectromed</v>
      </c>
    </row>
    <row r="134" spans="1:28" s="227" customFormat="1" ht="54">
      <c r="A134" s="181"/>
      <c r="B134" s="182" t="s">
        <v>1098</v>
      </c>
      <c r="C134" s="186" t="s">
        <v>880</v>
      </c>
      <c r="D134" s="230" t="s">
        <v>880</v>
      </c>
      <c r="E134" s="182" t="s">
        <v>854</v>
      </c>
      <c r="F134" s="182" t="s">
        <v>671</v>
      </c>
      <c r="G134" s="182" t="s">
        <v>13177</v>
      </c>
      <c r="H134" s="183" t="s">
        <v>16109</v>
      </c>
      <c r="I134" s="184" t="s">
        <v>1570</v>
      </c>
      <c r="J134" s="184" t="s">
        <v>9890</v>
      </c>
      <c r="K134" s="224"/>
      <c r="L134" s="224"/>
      <c r="M134" s="224"/>
      <c r="N134" s="224">
        <v>-2146826246</v>
      </c>
      <c r="O134" s="224" t="s">
        <v>16110</v>
      </c>
      <c r="P134" s="185"/>
      <c r="Q134" s="225"/>
      <c r="R134" s="182" t="str">
        <f ca="1">IF(ISERROR($V134),"",OFFSET('Smelter Look-up'!$C$4,$V134-4,0)&amp;"")</f>
        <v>JSC Ekaterinburg Non-Ferrous Metal Processing Plant</v>
      </c>
      <c r="S134" s="181" t="str">
        <f t="shared" ref="S134:S165" ca="1" si="20">IF(B134="","",IF(ISERROR(MATCH($E134,CL,0)),"Unknown",INDIRECT("'C'!$A$"&amp;MATCH($E134,CL,0)+1)))</f>
        <v>RU</v>
      </c>
      <c r="T134" s="181" t="str">
        <f ca="1">IF(B134="","",IF(ISERROR(MATCH($J134,SorP!$B$1:$B$6226,0)),"",INDIRECT("'SorP'!$A$"&amp;MATCH($S134&amp;$J134,SorP!C:C,0))))</f>
        <v>RU-SVE</v>
      </c>
      <c r="U134" s="201"/>
      <c r="V134" s="226">
        <f>IF(C134="",NA(),IF(OR(C134="Smelter not listed",C134="Smelter not yet identified"),MATCH($B134&amp;$D134,'Smelter Look-up'!$J:$J,0),MATCH($B134&amp;$C134,'Smelter Look-up'!$J:$J,0)))</f>
        <v>134</v>
      </c>
      <c r="X134" s="227">
        <f t="shared" ref="X134:X165" si="21">IF(AND(C134="Smelter not listed",OR(LEN(D134)=0,LEN(E134)=0)),1,0)</f>
        <v>0</v>
      </c>
      <c r="AB134" s="228" t="str">
        <f t="shared" ref="AB134:AB165" si="22">B134&amp;C134</f>
        <v>GoldJSC Ekaterinburg Non-Ferrous Metal Processing Plant</v>
      </c>
    </row>
    <row r="135" spans="1:28" s="227" customFormat="1" ht="54">
      <c r="A135" s="181"/>
      <c r="B135" s="182" t="s">
        <v>1098</v>
      </c>
      <c r="C135" s="186" t="s">
        <v>2238</v>
      </c>
      <c r="D135" s="230" t="s">
        <v>2238</v>
      </c>
      <c r="E135" s="182" t="s">
        <v>1066</v>
      </c>
      <c r="F135" s="182" t="s">
        <v>670</v>
      </c>
      <c r="G135" s="182" t="s">
        <v>13177</v>
      </c>
      <c r="H135" s="183" t="s">
        <v>16111</v>
      </c>
      <c r="I135" s="184" t="s">
        <v>1568</v>
      </c>
      <c r="J135" s="184" t="s">
        <v>1569</v>
      </c>
      <c r="K135" s="224"/>
      <c r="L135" s="224"/>
      <c r="M135" s="224"/>
      <c r="N135" s="224" t="s">
        <v>15928</v>
      </c>
      <c r="O135" s="224" t="s">
        <v>16112</v>
      </c>
      <c r="P135" s="185"/>
      <c r="Q135" s="225" t="s">
        <v>15840</v>
      </c>
      <c r="R135" s="182" t="str">
        <f ca="1">IF(ISERROR($V135),"",OFFSET('Smelter Look-up'!$C$4,$V135-4,0)&amp;"")</f>
        <v>Asahi Refining Canada Ltd.</v>
      </c>
      <c r="S135" s="181" t="str">
        <f t="shared" ca="1" si="20"/>
        <v>CA</v>
      </c>
      <c r="T135" s="181" t="str">
        <f ca="1">IF(B135="","",IF(ISERROR(MATCH($J135,SorP!$B$1:$B$6226,0)),"",INDIRECT("'SorP'!$A$"&amp;MATCH($S135&amp;$J135,SorP!C:C,0))))</f>
        <v>CA-ON</v>
      </c>
      <c r="U135" s="201"/>
      <c r="V135" s="226">
        <f>IF(C135="",NA(),IF(OR(C135="Smelter not listed",C135="Smelter not yet identified"),MATCH($B135&amp;$D135,'Smelter Look-up'!$J:$J,0),MATCH($B135&amp;$C135,'Smelter Look-up'!$J:$J,0)))</f>
        <v>31</v>
      </c>
      <c r="X135" s="227">
        <f t="shared" si="21"/>
        <v>0</v>
      </c>
      <c r="AB135" s="228" t="str">
        <f t="shared" si="22"/>
        <v>GoldAsahi Refining Canada Ltd.</v>
      </c>
    </row>
    <row r="136" spans="1:28" s="227" customFormat="1" ht="94.5">
      <c r="A136" s="181"/>
      <c r="B136" s="182" t="s">
        <v>1098</v>
      </c>
      <c r="C136" s="186" t="s">
        <v>2153</v>
      </c>
      <c r="D136" s="230" t="s">
        <v>2153</v>
      </c>
      <c r="E136" s="182" t="s">
        <v>2384</v>
      </c>
      <c r="F136" s="182" t="s">
        <v>669</v>
      </c>
      <c r="G136" s="182" t="s">
        <v>13177</v>
      </c>
      <c r="H136" s="183" t="s">
        <v>16113</v>
      </c>
      <c r="I136" s="184" t="s">
        <v>1565</v>
      </c>
      <c r="J136" s="184" t="s">
        <v>1566</v>
      </c>
      <c r="K136" s="224"/>
      <c r="L136" s="224"/>
      <c r="M136" s="224"/>
      <c r="N136" s="224" t="s">
        <v>15988</v>
      </c>
      <c r="O136" s="224" t="s">
        <v>16114</v>
      </c>
      <c r="P136" s="185"/>
      <c r="Q136" s="225" t="s">
        <v>15840</v>
      </c>
      <c r="R136" s="182" t="str">
        <f ca="1">IF(ISERROR($V136),"",OFFSET('Smelter Look-up'!$C$4,$V136-4,0)&amp;"")</f>
        <v>Asahi Refining USA Inc.</v>
      </c>
      <c r="S136" s="181" t="str">
        <f t="shared" ca="1" si="20"/>
        <v>US</v>
      </c>
      <c r="T136" s="181" t="str">
        <f ca="1">IF(B136="","",IF(ISERROR(MATCH($J136,SorP!$B$1:$B$6226,0)),"",INDIRECT("'SorP'!$A$"&amp;MATCH($S136&amp;$J136,SorP!C:C,0))))</f>
        <v>US-UT</v>
      </c>
      <c r="U136" s="201"/>
      <c r="V136" s="226">
        <f>IF(C136="",NA(),IF(OR(C136="Smelter not listed",C136="Smelter not yet identified"),MATCH($B136&amp;$D136,'Smelter Look-up'!$J:$J,0),MATCH($B136&amp;$C136,'Smelter Look-up'!$J:$J,0)))</f>
        <v>32</v>
      </c>
      <c r="X136" s="227">
        <f t="shared" si="21"/>
        <v>0</v>
      </c>
      <c r="AB136" s="228" t="str">
        <f t="shared" si="22"/>
        <v>GoldAsahi Refining USA Inc.</v>
      </c>
    </row>
    <row r="137" spans="1:28" s="227" customFormat="1" ht="81">
      <c r="A137" s="181"/>
      <c r="B137" s="182" t="s">
        <v>1098</v>
      </c>
      <c r="C137" s="186" t="s">
        <v>2251</v>
      </c>
      <c r="D137" s="230" t="s">
        <v>2251</v>
      </c>
      <c r="E137" s="182" t="s">
        <v>1069</v>
      </c>
      <c r="F137" s="182" t="s">
        <v>668</v>
      </c>
      <c r="G137" s="182" t="s">
        <v>13177</v>
      </c>
      <c r="H137" s="183" t="s">
        <v>16115</v>
      </c>
      <c r="I137" s="184" t="s">
        <v>1563</v>
      </c>
      <c r="J137" s="184" t="s">
        <v>13531</v>
      </c>
      <c r="K137" s="224"/>
      <c r="L137" s="224"/>
      <c r="M137" s="224"/>
      <c r="N137" s="224" t="s">
        <v>15928</v>
      </c>
      <c r="O137" s="224" t="s">
        <v>16116</v>
      </c>
      <c r="P137" s="185"/>
      <c r="Q137" s="225" t="s">
        <v>15840</v>
      </c>
      <c r="R137" s="182" t="str">
        <f ca="1">IF(ISERROR($V137),"",OFFSET('Smelter Look-up'!$C$4,$V137-4,0)&amp;"")</f>
        <v>Jiangxi Copper Co., Ltd.</v>
      </c>
      <c r="S137" s="181" t="str">
        <f t="shared" ca="1" si="20"/>
        <v>CN</v>
      </c>
      <c r="T137" s="181" t="str">
        <f ca="1">IF(B137="","",IF(ISERROR(MATCH($J137,SorP!$B$1:$B$6226,0)),"",INDIRECT("'SorP'!$A$"&amp;MATCH($S137&amp;$J137,SorP!C:C,0))))</f>
        <v>CN-JX</v>
      </c>
      <c r="U137" s="201"/>
      <c r="V137" s="226">
        <f>IF(C137="",NA(),IF(OR(C137="Smelter not listed",C137="Smelter not yet identified"),MATCH($B137&amp;$D137,'Smelter Look-up'!$J:$J,0),MATCH($B137&amp;$C137,'Smelter Look-up'!$J:$J,0)))</f>
        <v>129</v>
      </c>
      <c r="X137" s="227">
        <f t="shared" si="21"/>
        <v>0</v>
      </c>
      <c r="AB137" s="228" t="str">
        <f t="shared" si="22"/>
        <v>GoldJiangxi Copper Co., Ltd.</v>
      </c>
    </row>
    <row r="138" spans="1:28" s="227" customFormat="1" ht="54">
      <c r="A138" s="181"/>
      <c r="B138" s="182" t="s">
        <v>1098</v>
      </c>
      <c r="C138" s="186" t="s">
        <v>879</v>
      </c>
      <c r="D138" s="230" t="s">
        <v>879</v>
      </c>
      <c r="E138" s="182" t="s">
        <v>1077</v>
      </c>
      <c r="F138" s="182" t="s">
        <v>667</v>
      </c>
      <c r="G138" s="182" t="s">
        <v>13177</v>
      </c>
      <c r="H138" s="183" t="s">
        <v>16117</v>
      </c>
      <c r="I138" s="184" t="s">
        <v>1562</v>
      </c>
      <c r="J138" s="184" t="s">
        <v>1562</v>
      </c>
      <c r="K138" s="224"/>
      <c r="L138" s="224"/>
      <c r="M138" s="224"/>
      <c r="N138" s="224" t="s">
        <v>15928</v>
      </c>
      <c r="O138" s="224" t="s">
        <v>16118</v>
      </c>
      <c r="P138" s="185"/>
      <c r="Q138" s="225" t="s">
        <v>15840</v>
      </c>
      <c r="R138" s="182" t="str">
        <f ca="1">IF(ISERROR($V138),"",OFFSET('Smelter Look-up'!$C$4,$V138-4,0)&amp;"")</f>
        <v>Japan Mint</v>
      </c>
      <c r="S138" s="181" t="str">
        <f t="shared" ca="1" si="20"/>
        <v>JP</v>
      </c>
      <c r="T138" s="181" t="str">
        <f ca="1">IF(B138="","",IF(ISERROR(MATCH($J138,SorP!$B$1:$B$6226,0)),"",INDIRECT("'SorP'!$A$"&amp;MATCH($S138&amp;$J138,SorP!C:C,0))))</f>
        <v>JP-27</v>
      </c>
      <c r="U138" s="201"/>
      <c r="V138" s="226">
        <f>IF(C138="",NA(),IF(OR(C138="Smelter not listed",C138="Smelter not yet identified"),MATCH($B138&amp;$D138,'Smelter Look-up'!$J:$J,0),MATCH($B138&amp;$C138,'Smelter Look-up'!$J:$J,0)))</f>
        <v>127</v>
      </c>
      <c r="X138" s="227">
        <f t="shared" si="21"/>
        <v>0</v>
      </c>
      <c r="AB138" s="228" t="str">
        <f t="shared" si="22"/>
        <v>GoldJapan Mint</v>
      </c>
    </row>
    <row r="139" spans="1:28" s="227" customFormat="1" ht="27">
      <c r="A139" s="181"/>
      <c r="B139" s="182" t="s">
        <v>1098</v>
      </c>
      <c r="C139" s="186" t="s">
        <v>1201</v>
      </c>
      <c r="D139" s="230" t="s">
        <v>1201</v>
      </c>
      <c r="E139" s="182" t="s">
        <v>860</v>
      </c>
      <c r="F139" s="182" t="s">
        <v>666</v>
      </c>
      <c r="G139" s="182" t="s">
        <v>13177</v>
      </c>
      <c r="H139" s="183" t="s">
        <v>16119</v>
      </c>
      <c r="I139" s="184" t="s">
        <v>1561</v>
      </c>
      <c r="J139" s="184" t="s">
        <v>11215</v>
      </c>
      <c r="K139" s="224"/>
      <c r="L139" s="224"/>
      <c r="M139" s="224"/>
      <c r="N139" s="224" t="s">
        <v>15928</v>
      </c>
      <c r="O139" s="224" t="s">
        <v>16120</v>
      </c>
      <c r="P139" s="185"/>
      <c r="Q139" s="225" t="s">
        <v>15840</v>
      </c>
      <c r="R139" s="182" t="str">
        <f ca="1">IF(ISERROR($V139),"",OFFSET('Smelter Look-up'!$C$4,$V139-4,0)&amp;"")</f>
        <v>Istanbul Gold Refinery</v>
      </c>
      <c r="S139" s="181" t="str">
        <f t="shared" ca="1" si="20"/>
        <v>TR</v>
      </c>
      <c r="T139" s="181" t="str">
        <f ca="1">IF(B139="","",IF(ISERROR(MATCH($J139,SorP!$B$1:$B$6226,0)),"",INDIRECT("'SorP'!$A$"&amp;MATCH($S139&amp;$J139,SorP!C:C,0))))</f>
        <v>TR-34</v>
      </c>
      <c r="U139" s="201"/>
      <c r="V139" s="226">
        <f>IF(C139="",NA(),IF(OR(C139="Smelter not listed",C139="Smelter not yet identified"),MATCH($B139&amp;$D139,'Smelter Look-up'!$J:$J,0),MATCH($B139&amp;$C139,'Smelter Look-up'!$J:$J,0)))</f>
        <v>124</v>
      </c>
      <c r="X139" s="227">
        <f t="shared" si="21"/>
        <v>0</v>
      </c>
      <c r="AB139" s="228" t="str">
        <f t="shared" si="22"/>
        <v>GoldIstanbul Gold Refinery</v>
      </c>
    </row>
    <row r="140" spans="1:28" s="227" customFormat="1" ht="94.5">
      <c r="A140" s="181"/>
      <c r="B140" s="182" t="s">
        <v>1098</v>
      </c>
      <c r="C140" s="186" t="s">
        <v>1194</v>
      </c>
      <c r="D140" s="230" t="s">
        <v>1194</v>
      </c>
      <c r="E140" s="182" t="s">
        <v>1077</v>
      </c>
      <c r="F140" s="182" t="s">
        <v>665</v>
      </c>
      <c r="G140" s="182" t="s">
        <v>13177</v>
      </c>
      <c r="H140" s="183" t="s">
        <v>16121</v>
      </c>
      <c r="I140" s="184" t="s">
        <v>1560</v>
      </c>
      <c r="J140" s="184" t="s">
        <v>1547</v>
      </c>
      <c r="K140" s="224"/>
      <c r="L140" s="224"/>
      <c r="M140" s="224"/>
      <c r="N140" s="224" t="s">
        <v>15988</v>
      </c>
      <c r="O140" s="224" t="s">
        <v>16122</v>
      </c>
      <c r="P140" s="185"/>
      <c r="Q140" s="225" t="s">
        <v>15840</v>
      </c>
      <c r="R140" s="182" t="str">
        <f ca="1">IF(ISERROR($V140),"",OFFSET('Smelter Look-up'!$C$4,$V140-4,0)&amp;"")</f>
        <v>Ishifuku Metal Industry Co., Ltd.</v>
      </c>
      <c r="S140" s="181" t="str">
        <f t="shared" ca="1" si="20"/>
        <v>JP</v>
      </c>
      <c r="T140" s="181" t="str">
        <f ca="1">IF(B140="","",IF(ISERROR(MATCH($J140,SorP!$B$1:$B$6226,0)),"",INDIRECT("'SorP'!$A$"&amp;MATCH($S140&amp;$J140,SorP!C:C,0))))</f>
        <v>JP-11</v>
      </c>
      <c r="U140" s="201"/>
      <c r="V140" s="226">
        <f>IF(C140="",NA(),IF(OR(C140="Smelter not listed",C140="Smelter not yet identified"),MATCH($B140&amp;$D140,'Smelter Look-up'!$J:$J,0),MATCH($B140&amp;$C140,'Smelter Look-up'!$J:$J,0)))</f>
        <v>123</v>
      </c>
      <c r="X140" s="227">
        <f t="shared" si="21"/>
        <v>0</v>
      </c>
      <c r="AB140" s="228" t="str">
        <f t="shared" si="22"/>
        <v>GoldIshifuku Metal Industry Co., Ltd.</v>
      </c>
    </row>
    <row r="141" spans="1:28" s="227" customFormat="1" ht="67.5">
      <c r="A141" s="181"/>
      <c r="B141" s="182" t="s">
        <v>1098</v>
      </c>
      <c r="C141" s="186" t="s">
        <v>2250</v>
      </c>
      <c r="D141" s="230" t="s">
        <v>2250</v>
      </c>
      <c r="E141" s="182" t="s">
        <v>1069</v>
      </c>
      <c r="F141" s="182" t="s">
        <v>664</v>
      </c>
      <c r="G141" s="182" t="s">
        <v>13177</v>
      </c>
      <c r="H141" s="183" t="s">
        <v>16123</v>
      </c>
      <c r="I141" s="184" t="s">
        <v>1559</v>
      </c>
      <c r="J141" s="184" t="s">
        <v>13514</v>
      </c>
      <c r="K141" s="224"/>
      <c r="L141" s="224"/>
      <c r="M141" s="224"/>
      <c r="N141" s="224" t="s">
        <v>15928</v>
      </c>
      <c r="O141" s="224" t="s">
        <v>16124</v>
      </c>
      <c r="P141" s="185"/>
      <c r="Q141" s="225" t="s">
        <v>15840</v>
      </c>
      <c r="R141" s="182" t="str">
        <f ca="1">IF(ISERROR($V141),"",OFFSET('Smelter Look-up'!$C$4,$V141-4,0)&amp;"")</f>
        <v>Inner Mongolia Qiankun Gold and Silver Refinery Share Co., Ltd.</v>
      </c>
      <c r="S141" s="181" t="str">
        <f t="shared" ca="1" si="20"/>
        <v>CN</v>
      </c>
      <c r="T141" s="181" t="str">
        <f ca="1">IF(B141="","",IF(ISERROR(MATCH($J141,SorP!$B$1:$B$6226,0)),"",INDIRECT("'SorP'!$A$"&amp;MATCH($S141&amp;$J141,SorP!C:C,0))))</f>
        <v>CN-NM</v>
      </c>
      <c r="U141" s="201"/>
      <c r="V141" s="226">
        <f>IF(C141="",NA(),IF(OR(C141="Smelter not listed",C141="Smelter not yet identified"),MATCH($B141&amp;$D141,'Smelter Look-up'!$J:$J,0),MATCH($B141&amp;$C141,'Smelter Look-up'!$J:$J,0)))</f>
        <v>121</v>
      </c>
      <c r="X141" s="227">
        <f t="shared" si="21"/>
        <v>0</v>
      </c>
      <c r="AB141" s="228" t="str">
        <f t="shared" si="22"/>
        <v>GoldInner Mongolia Qiankun Gold and Silver Refinery Share Co., Ltd.</v>
      </c>
    </row>
    <row r="142" spans="1:28" s="227" customFormat="1" ht="94.5">
      <c r="A142" s="181"/>
      <c r="B142" s="182" t="s">
        <v>1098</v>
      </c>
      <c r="C142" s="186" t="s">
        <v>16125</v>
      </c>
      <c r="D142" s="230" t="s">
        <v>16125</v>
      </c>
      <c r="E142" s="182" t="s">
        <v>1080</v>
      </c>
      <c r="F142" s="182" t="s">
        <v>663</v>
      </c>
      <c r="G142" s="182" t="s">
        <v>13177</v>
      </c>
      <c r="H142" s="183" t="s">
        <v>16126</v>
      </c>
      <c r="I142" s="184" t="s">
        <v>1558</v>
      </c>
      <c r="J142" s="184" t="s">
        <v>12818</v>
      </c>
      <c r="K142" s="224"/>
      <c r="L142" s="224"/>
      <c r="M142" s="224"/>
      <c r="N142" s="224">
        <v>-2146826246</v>
      </c>
      <c r="O142" s="224" t="s">
        <v>16127</v>
      </c>
      <c r="P142" s="185"/>
      <c r="Q142" s="225"/>
      <c r="R142" s="182" t="str">
        <f ca="1">IF(ISERROR($V142),"",OFFSET('Smelter Look-up'!$C$4,$V142-4,0)&amp;"")</f>
        <v>HwaSeong CJ CO., LTD.</v>
      </c>
      <c r="S142" s="181" t="str">
        <f t="shared" ca="1" si="20"/>
        <v>KR</v>
      </c>
      <c r="T142" s="181" t="str">
        <f ca="1">IF(B142="","",IF(ISERROR(MATCH($J142,SorP!$B$1:$B$6226,0)),"",INDIRECT("'SorP'!$A$"&amp;MATCH($S142&amp;$J142,SorP!C:C,0))))</f>
        <v>KR-41</v>
      </c>
      <c r="U142" s="201"/>
      <c r="V142" s="226">
        <f>IF(C142="",NA(),IF(OR(C142="Smelter not listed",C142="Smelter not yet identified"),MATCH($B142&amp;$D142,'Smelter Look-up'!$J:$J,0),MATCH($B142&amp;$C142,'Smelter Look-up'!$J:$J,0)))</f>
        <v>117</v>
      </c>
      <c r="X142" s="227">
        <f t="shared" si="21"/>
        <v>0</v>
      </c>
      <c r="AB142" s="228" t="str">
        <f t="shared" si="22"/>
        <v>GoldHwaSeong CJ Co., Ltd.</v>
      </c>
    </row>
    <row r="143" spans="1:28" s="227" customFormat="1" ht="40.5">
      <c r="A143" s="181"/>
      <c r="B143" s="182" t="s">
        <v>1098</v>
      </c>
      <c r="C143" s="186" t="s">
        <v>13113</v>
      </c>
      <c r="D143" s="230" t="s">
        <v>13113</v>
      </c>
      <c r="E143" s="182" t="s">
        <v>1069</v>
      </c>
      <c r="F143" s="182" t="s">
        <v>13114</v>
      </c>
      <c r="G143" s="182" t="s">
        <v>13177</v>
      </c>
      <c r="H143" s="183" t="s">
        <v>16128</v>
      </c>
      <c r="I143" s="184" t="s">
        <v>1733</v>
      </c>
      <c r="J143" s="184" t="s">
        <v>13535</v>
      </c>
      <c r="K143" s="224"/>
      <c r="L143" s="224"/>
      <c r="M143" s="224"/>
      <c r="N143" s="224">
        <v>-2146826246</v>
      </c>
      <c r="O143" s="224" t="s">
        <v>16129</v>
      </c>
      <c r="P143" s="185"/>
      <c r="Q143" s="225"/>
      <c r="R143" s="182" t="str">
        <f ca="1">IF(ISERROR($V143),"",OFFSET('Smelter Look-up'!$C$4,$V143-4,0)&amp;"")</f>
        <v>Hunan Guiyang yinxing Nonferrous Smelting Co., Ltd.</v>
      </c>
      <c r="S143" s="181" t="str">
        <f t="shared" ca="1" si="20"/>
        <v>CN</v>
      </c>
      <c r="T143" s="181" t="str">
        <f ca="1">IF(B143="","",IF(ISERROR(MATCH($J143,SorP!$B$1:$B$6226,0)),"",INDIRECT("'SorP'!$A$"&amp;MATCH($S143&amp;$J143,SorP!C:C,0))))</f>
        <v>CN-HN</v>
      </c>
      <c r="U143" s="201"/>
      <c r="V143" s="226">
        <f>IF(C143="",NA(),IF(OR(C143="Smelter not listed",C143="Smelter not yet identified"),MATCH($B143&amp;$D143,'Smelter Look-up'!$J:$J,0),MATCH($B143&amp;$C143,'Smelter Look-up'!$J:$J,0)))</f>
        <v>115</v>
      </c>
      <c r="X143" s="227">
        <f t="shared" si="21"/>
        <v>0</v>
      </c>
      <c r="AB143" s="228" t="str">
        <f t="shared" si="22"/>
        <v>GoldHunan Guiyang yinxing Nonferrous Smelting Co., Ltd.</v>
      </c>
    </row>
    <row r="144" spans="1:28" s="227" customFormat="1" ht="40.5">
      <c r="A144" s="181"/>
      <c r="B144" s="182" t="s">
        <v>1098</v>
      </c>
      <c r="C144" s="186" t="s">
        <v>2166</v>
      </c>
      <c r="D144" s="230" t="s">
        <v>2166</v>
      </c>
      <c r="E144" s="182" t="s">
        <v>1069</v>
      </c>
      <c r="F144" s="182" t="s">
        <v>662</v>
      </c>
      <c r="G144" s="182" t="s">
        <v>13177</v>
      </c>
      <c r="H144" s="183" t="s">
        <v>16130</v>
      </c>
      <c r="I144" s="184" t="s">
        <v>2089</v>
      </c>
      <c r="J144" s="184" t="s">
        <v>13535</v>
      </c>
      <c r="K144" s="224"/>
      <c r="L144" s="224"/>
      <c r="M144" s="224"/>
      <c r="N144" s="224">
        <v>-2146826246</v>
      </c>
      <c r="O144" s="224" t="s">
        <v>16131</v>
      </c>
      <c r="P144" s="185"/>
      <c r="Q144" s="225"/>
      <c r="R144" s="182" t="str">
        <f ca="1">IF(ISERROR($V144),"",OFFSET('Smelter Look-up'!$C$4,$V144-4,0)&amp;"")</f>
        <v>Hunan Chenzhou Mining Co., Ltd.</v>
      </c>
      <c r="S144" s="181" t="str">
        <f t="shared" ca="1" si="20"/>
        <v>CN</v>
      </c>
      <c r="T144" s="181" t="str">
        <f ca="1">IF(B144="","",IF(ISERROR(MATCH($J144,SorP!$B$1:$B$6226,0)),"",INDIRECT("'SorP'!$A$"&amp;MATCH($S144&amp;$J144,SorP!C:C,0))))</f>
        <v>CN-HN</v>
      </c>
      <c r="U144" s="201"/>
      <c r="V144" s="226">
        <f>IF(C144="",NA(),IF(OR(C144="Smelter not listed",C144="Smelter not yet identified"),MATCH($B144&amp;$D144,'Smelter Look-up'!$J:$J,0),MATCH($B144&amp;$C144,'Smelter Look-up'!$J:$J,0)))</f>
        <v>112</v>
      </c>
      <c r="X144" s="227">
        <f t="shared" si="21"/>
        <v>0</v>
      </c>
      <c r="AB144" s="228" t="str">
        <f t="shared" si="22"/>
        <v>GoldHunan Chenzhou Mining Co., Ltd.</v>
      </c>
    </row>
    <row r="145" spans="1:28" s="227" customFormat="1" ht="189">
      <c r="A145" s="181"/>
      <c r="B145" s="182" t="s">
        <v>1098</v>
      </c>
      <c r="C145" s="186" t="s">
        <v>14928</v>
      </c>
      <c r="D145" s="230" t="s">
        <v>14928</v>
      </c>
      <c r="E145" s="182" t="s">
        <v>1070</v>
      </c>
      <c r="F145" s="182" t="s">
        <v>661</v>
      </c>
      <c r="G145" s="182" t="s">
        <v>13177</v>
      </c>
      <c r="H145" s="183" t="s">
        <v>16132</v>
      </c>
      <c r="I145" s="184" t="s">
        <v>1556</v>
      </c>
      <c r="J145" s="184" t="s">
        <v>4195</v>
      </c>
      <c r="K145" s="224"/>
      <c r="L145" s="224"/>
      <c r="M145" s="224"/>
      <c r="N145" s="224" t="s">
        <v>15993</v>
      </c>
      <c r="O145" s="224" t="s">
        <v>16133</v>
      </c>
      <c r="P145" s="185"/>
      <c r="Q145" s="225" t="s">
        <v>15840</v>
      </c>
      <c r="R145" s="182" t="str">
        <f ca="1">IF(ISERROR($V145),"",OFFSET('Smelter Look-up'!$C$4,$V145-4,0)&amp;"")</f>
        <v>Heraeus Germany GmbH Co. KG</v>
      </c>
      <c r="S145" s="181" t="str">
        <f t="shared" ca="1" si="20"/>
        <v>DE</v>
      </c>
      <c r="T145" s="181" t="str">
        <f ca="1">IF(B145="","",IF(ISERROR(MATCH($J145,SorP!$B$1:$B$6226,0)),"",INDIRECT("'SorP'!$A$"&amp;MATCH($S145&amp;$J145,SorP!C:C,0))))</f>
        <v>DE-HE</v>
      </c>
      <c r="U145" s="201"/>
      <c r="V145" s="226">
        <f>IF(C145="",NA(),IF(OR(C145="Smelter not listed",C145="Smelter not yet identified"),MATCH($B145&amp;$D145,'Smelter Look-up'!$J:$J,0),MATCH($B145&amp;$C145,'Smelter Look-up'!$J:$J,0)))</f>
        <v>108</v>
      </c>
      <c r="X145" s="227">
        <f t="shared" si="21"/>
        <v>0</v>
      </c>
      <c r="AB145" s="228" t="str">
        <f t="shared" si="22"/>
        <v>GoldHeraeus Germany GmbH Co. KG</v>
      </c>
    </row>
    <row r="146" spans="1:28" s="227" customFormat="1" ht="189">
      <c r="A146" s="181"/>
      <c r="B146" s="182" t="s">
        <v>1098</v>
      </c>
      <c r="C146" s="186" t="s">
        <v>2452</v>
      </c>
      <c r="D146" s="230" t="s">
        <v>2452</v>
      </c>
      <c r="E146" s="182" t="s">
        <v>1069</v>
      </c>
      <c r="F146" s="182" t="s">
        <v>660</v>
      </c>
      <c r="G146" s="182" t="s">
        <v>13177</v>
      </c>
      <c r="H146" s="183" t="s">
        <v>16134</v>
      </c>
      <c r="I146" s="184" t="s">
        <v>1555</v>
      </c>
      <c r="J146" s="184" t="s">
        <v>15604</v>
      </c>
      <c r="K146" s="224"/>
      <c r="L146" s="224"/>
      <c r="M146" s="224"/>
      <c r="N146" s="224" t="s">
        <v>16135</v>
      </c>
      <c r="O146" s="224" t="s">
        <v>16136</v>
      </c>
      <c r="P146" s="185"/>
      <c r="Q146" s="225" t="s">
        <v>15840</v>
      </c>
      <c r="R146" s="182" t="str">
        <f ca="1">IF(ISERROR($V146),"",OFFSET('Smelter Look-up'!$C$4,$V146-4,0)&amp;"")</f>
        <v>Heraeus Metals Hong Kong Ltd.</v>
      </c>
      <c r="S146" s="181" t="str">
        <f t="shared" ca="1" si="20"/>
        <v>CN</v>
      </c>
      <c r="T146" s="181" t="str">
        <f ca="1">IF(B146="","",IF(ISERROR(MATCH($J146,SorP!$B$1:$B$6226,0)),"",INDIRECT("'SorP'!$A$"&amp;MATCH($S146&amp;$J146,SorP!C:C,0))))</f>
        <v>CN-HK</v>
      </c>
      <c r="U146" s="201"/>
      <c r="V146" s="226">
        <f>IF(C146="",NA(),IF(OR(C146="Smelter not listed",C146="Smelter not yet identified"),MATCH($B146&amp;$D146,'Smelter Look-up'!$J:$J,0),MATCH($B146&amp;$C146,'Smelter Look-up'!$J:$J,0)))</f>
        <v>110</v>
      </c>
      <c r="X146" s="227">
        <f t="shared" si="21"/>
        <v>0</v>
      </c>
      <c r="AB146" s="228" t="str">
        <f t="shared" si="22"/>
        <v>GoldHeraeus Metals Hong Kong Ltd.</v>
      </c>
    </row>
    <row r="147" spans="1:28" s="227" customFormat="1" ht="135">
      <c r="A147" s="181"/>
      <c r="B147" s="182" t="s">
        <v>1098</v>
      </c>
      <c r="C147" s="186" t="s">
        <v>1008</v>
      </c>
      <c r="D147" s="230" t="s">
        <v>1008</v>
      </c>
      <c r="E147" s="182" t="s">
        <v>1070</v>
      </c>
      <c r="F147" s="182" t="s">
        <v>659</v>
      </c>
      <c r="G147" s="182" t="s">
        <v>13177</v>
      </c>
      <c r="H147" s="183" t="s">
        <v>16137</v>
      </c>
      <c r="I147" s="184" t="s">
        <v>1510</v>
      </c>
      <c r="J147" s="184" t="s">
        <v>1511</v>
      </c>
      <c r="K147" s="224"/>
      <c r="L147" s="224"/>
      <c r="M147" s="224"/>
      <c r="N147" s="224" t="s">
        <v>15996</v>
      </c>
      <c r="O147" s="224" t="s">
        <v>16138</v>
      </c>
      <c r="P147" s="185"/>
      <c r="Q147" s="225" t="s">
        <v>15840</v>
      </c>
      <c r="R147" s="182" t="str">
        <f ca="1">IF(ISERROR($V147),"",OFFSET('Smelter Look-up'!$C$4,$V147-4,0)&amp;"")</f>
        <v>Heimerle + Meule GmbH</v>
      </c>
      <c r="S147" s="181" t="str">
        <f t="shared" ca="1" si="20"/>
        <v>DE</v>
      </c>
      <c r="T147" s="181" t="str">
        <f ca="1">IF(B147="","",IF(ISERROR(MATCH($J147,SorP!$B$1:$B$6226,0)),"",INDIRECT("'SorP'!$A$"&amp;MATCH($S147&amp;$J147,SorP!C:C,0))))</f>
        <v>DE-BW</v>
      </c>
      <c r="U147" s="201"/>
      <c r="V147" s="226">
        <f>IF(C147="",NA(),IF(OR(C147="Smelter not listed",C147="Smelter not yet identified"),MATCH($B147&amp;$D147,'Smelter Look-up'!$J:$J,0),MATCH($B147&amp;$C147,'Smelter Look-up'!$J:$J,0)))</f>
        <v>104</v>
      </c>
      <c r="X147" s="227">
        <f t="shared" si="21"/>
        <v>0</v>
      </c>
      <c r="AB147" s="228" t="str">
        <f t="shared" si="22"/>
        <v>GoldHeimerle + Meule GmbH</v>
      </c>
    </row>
    <row r="148" spans="1:28" s="227" customFormat="1" ht="108">
      <c r="A148" s="181"/>
      <c r="B148" s="182" t="s">
        <v>1098</v>
      </c>
      <c r="C148" s="186" t="s">
        <v>13752</v>
      </c>
      <c r="D148" s="230" t="s">
        <v>13752</v>
      </c>
      <c r="E148" s="182" t="s">
        <v>1080</v>
      </c>
      <c r="F148" s="182" t="s">
        <v>2450</v>
      </c>
      <c r="G148" s="182" t="s">
        <v>13177</v>
      </c>
      <c r="H148" s="183" t="s">
        <v>16139</v>
      </c>
      <c r="I148" s="184" t="s">
        <v>2451</v>
      </c>
      <c r="J148" s="184" t="s">
        <v>12813</v>
      </c>
      <c r="K148" s="224"/>
      <c r="L148" s="224"/>
      <c r="M148" s="224"/>
      <c r="N148" s="224" t="s">
        <v>15876</v>
      </c>
      <c r="O148" s="224" t="s">
        <v>16140</v>
      </c>
      <c r="P148" s="185"/>
      <c r="Q148" s="225" t="s">
        <v>15840</v>
      </c>
      <c r="R148" s="182" t="str">
        <f ca="1">IF(ISERROR($V148),"",OFFSET('Smelter Look-up'!$C$4,$V148-4,0)&amp;"")</f>
        <v>LT Metal Ltd.</v>
      </c>
      <c r="S148" s="181" t="str">
        <f t="shared" ca="1" si="20"/>
        <v>KR</v>
      </c>
      <c r="T148" s="181" t="str">
        <f ca="1">IF(B148="","",IF(ISERROR(MATCH($J148,SorP!$B$1:$B$6226,0)),"",INDIRECT("'SorP'!$A$"&amp;MATCH($S148&amp;$J148,SorP!C:C,0))))</f>
        <v>KR-28</v>
      </c>
      <c r="U148" s="201"/>
      <c r="V148" s="226">
        <f>IF(C148="",NA(),IF(OR(C148="Smelter not listed",C148="Smelter not yet identified"),MATCH($B148&amp;$D148,'Smelter Look-up'!$J:$J,0),MATCH($B148&amp;$C148,'Smelter Look-up'!$J:$J,0)))</f>
        <v>164</v>
      </c>
      <c r="X148" s="227">
        <f t="shared" si="21"/>
        <v>0</v>
      </c>
      <c r="AB148" s="228" t="str">
        <f t="shared" si="22"/>
        <v>GoldLT Metal Ltd.</v>
      </c>
    </row>
    <row r="149" spans="1:28" s="227" customFormat="1" ht="40.5">
      <c r="A149" s="181"/>
      <c r="B149" s="182" t="s">
        <v>1098</v>
      </c>
      <c r="C149" s="186" t="s">
        <v>381</v>
      </c>
      <c r="D149" s="230" t="s">
        <v>381</v>
      </c>
      <c r="E149" s="182" t="s">
        <v>1069</v>
      </c>
      <c r="F149" s="182" t="s">
        <v>382</v>
      </c>
      <c r="G149" s="182" t="s">
        <v>13177</v>
      </c>
      <c r="H149" s="183" t="s">
        <v>16141</v>
      </c>
      <c r="I149" s="184" t="s">
        <v>1554</v>
      </c>
      <c r="J149" s="184" t="s">
        <v>13528</v>
      </c>
      <c r="K149" s="224"/>
      <c r="L149" s="224"/>
      <c r="M149" s="224"/>
      <c r="N149" s="224">
        <v>-2146826246</v>
      </c>
      <c r="O149" s="224" t="s">
        <v>16142</v>
      </c>
      <c r="P149" s="185"/>
      <c r="Q149" s="225"/>
      <c r="R149" s="182" t="str">
        <f ca="1">IF(ISERROR($V149),"",OFFSET('Smelter Look-up'!$C$4,$V149-4,0)&amp;"")</f>
        <v>Hangzhou Fuchunjiang Smelting Co., Ltd.</v>
      </c>
      <c r="S149" s="181" t="str">
        <f t="shared" ca="1" si="20"/>
        <v>CN</v>
      </c>
      <c r="T149" s="181" t="str">
        <f ca="1">IF(B149="","",IF(ISERROR(MATCH($J149,SorP!$B$1:$B$6226,0)),"",INDIRECT("'SorP'!$A$"&amp;MATCH($S149&amp;$J149,SorP!C:C,0))))</f>
        <v>CN-ZJ</v>
      </c>
      <c r="U149" s="201"/>
      <c r="V149" s="226">
        <f>IF(C149="",NA(),IF(OR(C149="Smelter not listed",C149="Smelter not yet identified"),MATCH($B149&amp;$D149,'Smelter Look-up'!$J:$J,0),MATCH($B149&amp;$C149,'Smelter Look-up'!$J:$J,0)))</f>
        <v>102</v>
      </c>
      <c r="X149" s="227">
        <f t="shared" si="21"/>
        <v>0</v>
      </c>
      <c r="AB149" s="228" t="str">
        <f t="shared" si="22"/>
        <v>GoldHangzhou Fuchunjiang Smelting Co., Ltd.</v>
      </c>
    </row>
    <row r="150" spans="1:28" s="227" customFormat="1" ht="40.5">
      <c r="A150" s="181"/>
      <c r="B150" s="182" t="s">
        <v>1098</v>
      </c>
      <c r="C150" s="186" t="s">
        <v>1550</v>
      </c>
      <c r="D150" s="230" t="s">
        <v>1550</v>
      </c>
      <c r="E150" s="182" t="s">
        <v>1069</v>
      </c>
      <c r="F150" s="182" t="s">
        <v>1551</v>
      </c>
      <c r="G150" s="182" t="s">
        <v>13177</v>
      </c>
      <c r="H150" s="183" t="s">
        <v>16143</v>
      </c>
      <c r="I150" s="184" t="s">
        <v>1552</v>
      </c>
      <c r="J150" s="184" t="s">
        <v>13532</v>
      </c>
      <c r="K150" s="224"/>
      <c r="L150" s="224"/>
      <c r="M150" s="224"/>
      <c r="N150" s="224">
        <v>-2146826246</v>
      </c>
      <c r="O150" s="224" t="s">
        <v>16144</v>
      </c>
      <c r="P150" s="185"/>
      <c r="Q150" s="225"/>
      <c r="R150" s="182" t="str">
        <f ca="1">IF(ISERROR($V150),"",OFFSET('Smelter Look-up'!$C$4,$V150-4,0)&amp;"")</f>
        <v>Guoda Safina High-Tech Environmental Refinery Co., Ltd.</v>
      </c>
      <c r="S150" s="181" t="str">
        <f t="shared" ca="1" si="20"/>
        <v>CN</v>
      </c>
      <c r="T150" s="181" t="str">
        <f ca="1">IF(B150="","",IF(ISERROR(MATCH($J150,SorP!$B$1:$B$6226,0)),"",INDIRECT("'SorP'!$A$"&amp;MATCH($S150&amp;$J150,SorP!C:C,0))))</f>
        <v>CN-SD</v>
      </c>
      <c r="U150" s="201"/>
      <c r="V150" s="226">
        <f>IF(C150="",NA(),IF(OR(C150="Smelter not listed",C150="Smelter not yet identified"),MATCH($B150&amp;$D150,'Smelter Look-up'!$J:$J,0),MATCH($B150&amp;$C150,'Smelter Look-up'!$J:$J,0)))</f>
        <v>101</v>
      </c>
      <c r="X150" s="227">
        <f t="shared" si="21"/>
        <v>0</v>
      </c>
      <c r="AB150" s="228" t="str">
        <f t="shared" si="22"/>
        <v>GoldGuoda Safina High-Tech Environmental Refinery Co., Ltd.</v>
      </c>
    </row>
    <row r="151" spans="1:28" s="227" customFormat="1" ht="20">
      <c r="A151" s="181"/>
      <c r="B151" s="182" t="s">
        <v>1098</v>
      </c>
      <c r="C151" s="186" t="s">
        <v>12869</v>
      </c>
      <c r="D151" s="230" t="s">
        <v>12869</v>
      </c>
      <c r="E151" s="182" t="s">
        <v>1069</v>
      </c>
      <c r="F151" s="182" t="s">
        <v>656</v>
      </c>
      <c r="G151" s="182" t="s">
        <v>13177</v>
      </c>
      <c r="H151" s="183" t="s">
        <v>16145</v>
      </c>
      <c r="I151" s="184" t="s">
        <v>1549</v>
      </c>
      <c r="J151" s="184" t="s">
        <v>13542</v>
      </c>
      <c r="K151" s="224"/>
      <c r="L151" s="224"/>
      <c r="M151" s="224"/>
      <c r="N151" s="224">
        <v>-2146826246</v>
      </c>
      <c r="O151" s="224" t="s">
        <v>16146</v>
      </c>
      <c r="P151" s="185"/>
      <c r="Q151" s="225"/>
      <c r="R151" s="182" t="str">
        <f ca="1">IF(ISERROR($V151),"",OFFSET('Smelter Look-up'!$C$4,$V151-4,0)&amp;"")</f>
        <v>Refinery of Seemine Gold Co., Ltd.</v>
      </c>
      <c r="S151" s="181" t="str">
        <f t="shared" ca="1" si="20"/>
        <v>CN</v>
      </c>
      <c r="T151" s="181" t="str">
        <f ca="1">IF(B151="","",IF(ISERROR(MATCH($J151,SorP!$B$1:$B$6226,0)),"",INDIRECT("'SorP'!$A$"&amp;MATCH($S151&amp;$J151,SorP!C:C,0))))</f>
        <v>CN-GS</v>
      </c>
      <c r="U151" s="201"/>
      <c r="V151" s="226">
        <f>IF(C151="",NA(),IF(OR(C151="Smelter not listed",C151="Smelter not yet identified"),MATCH($B151&amp;$D151,'Smelter Look-up'!$J:$J,0),MATCH($B151&amp;$C151,'Smelter Look-up'!$J:$J,0)))</f>
        <v>226</v>
      </c>
      <c r="X151" s="227">
        <f t="shared" si="21"/>
        <v>0</v>
      </c>
      <c r="AB151" s="228" t="str">
        <f t="shared" si="22"/>
        <v>GoldRefinery of Seemine Gold Co., Ltd.</v>
      </c>
    </row>
    <row r="152" spans="1:28" s="227" customFormat="1" ht="135">
      <c r="A152" s="181"/>
      <c r="B152" s="182" t="s">
        <v>1098</v>
      </c>
      <c r="C152" s="186" t="s">
        <v>14927</v>
      </c>
      <c r="D152" s="230" t="s">
        <v>14927</v>
      </c>
      <c r="E152" s="182" t="s">
        <v>854</v>
      </c>
      <c r="F152" s="182" t="s">
        <v>655</v>
      </c>
      <c r="G152" s="182" t="s">
        <v>13177</v>
      </c>
      <c r="H152" s="183" t="s">
        <v>16147</v>
      </c>
      <c r="I152" s="184" t="s">
        <v>1548</v>
      </c>
      <c r="J152" s="184" t="s">
        <v>9952</v>
      </c>
      <c r="K152" s="224"/>
      <c r="L152" s="224"/>
      <c r="M152" s="224"/>
      <c r="N152" s="224">
        <v>-2146826246</v>
      </c>
      <c r="O152" s="224" t="s">
        <v>16148</v>
      </c>
      <c r="P152" s="185"/>
      <c r="Q152" s="225"/>
      <c r="R152" s="182" t="str">
        <f ca="1">IF(ISERROR($V152),"",OFFSET('Smelter Look-up'!$C$4,$V152-4,0)&amp;"")</f>
        <v>JSC Novosibirsk Refinery</v>
      </c>
      <c r="S152" s="181" t="str">
        <f t="shared" ca="1" si="20"/>
        <v>RU</v>
      </c>
      <c r="T152" s="181" t="str">
        <f ca="1">IF(B152="","",IF(ISERROR(MATCH($J152,SorP!$B$1:$B$6226,0)),"",INDIRECT("'SorP'!$A$"&amp;MATCH($S152&amp;$J152,SorP!C:C,0))))</f>
        <v>RU-NVS</v>
      </c>
      <c r="U152" s="201"/>
      <c r="V152" s="226">
        <f>IF(C152="",NA(),IF(OR(C152="Smelter not listed",C152="Smelter not yet identified"),MATCH($B152&amp;$D152,'Smelter Look-up'!$J:$J,0),MATCH($B152&amp;$C152,'Smelter Look-up'!$J:$J,0)))</f>
        <v>135</v>
      </c>
      <c r="X152" s="227">
        <f t="shared" si="21"/>
        <v>0</v>
      </c>
      <c r="AB152" s="228" t="str">
        <f t="shared" si="22"/>
        <v>GoldJSC Novosibirsk Refinery</v>
      </c>
    </row>
    <row r="153" spans="1:28" s="227" customFormat="1" ht="67.5">
      <c r="A153" s="181"/>
      <c r="B153" s="182" t="s">
        <v>1098</v>
      </c>
      <c r="C153" s="186" t="s">
        <v>13747</v>
      </c>
      <c r="D153" s="230" t="s">
        <v>13747</v>
      </c>
      <c r="E153" s="182" t="s">
        <v>1077</v>
      </c>
      <c r="F153" s="182" t="s">
        <v>384</v>
      </c>
      <c r="G153" s="182" t="s">
        <v>13177</v>
      </c>
      <c r="H153" s="183" t="s">
        <v>16149</v>
      </c>
      <c r="I153" s="184" t="s">
        <v>1546</v>
      </c>
      <c r="J153" s="184" t="s">
        <v>1547</v>
      </c>
      <c r="K153" s="224"/>
      <c r="L153" s="224"/>
      <c r="M153" s="224"/>
      <c r="N153" s="224" t="s">
        <v>16150</v>
      </c>
      <c r="O153" s="224" t="s">
        <v>16151</v>
      </c>
      <c r="P153" s="185"/>
      <c r="Q153" s="225" t="s">
        <v>15840</v>
      </c>
      <c r="R153" s="182" t="str">
        <f ca="1">IF(ISERROR($V153),"",OFFSET('Smelter Look-up'!$C$4,$V153-4,0)&amp;"")</f>
        <v>Eco-System Recycling Co., Ltd. East Plant</v>
      </c>
      <c r="S153" s="181" t="str">
        <f t="shared" ca="1" si="20"/>
        <v>JP</v>
      </c>
      <c r="T153" s="181" t="str">
        <f ca="1">IF(B153="","",IF(ISERROR(MATCH($J153,SorP!$B$1:$B$6226,0)),"",INDIRECT("'SorP'!$A$"&amp;MATCH($S153&amp;$J153,SorP!C:C,0))))</f>
        <v>JP-11</v>
      </c>
      <c r="U153" s="201"/>
      <c r="V153" s="226">
        <f>IF(C153="",NA(),IF(OR(C153="Smelter not listed",C153="Smelter not yet identified"),MATCH($B153&amp;$D153,'Smelter Look-up'!$J:$J,0),MATCH($B153&amp;$C153,'Smelter Look-up'!$J:$J,0)))</f>
        <v>73</v>
      </c>
      <c r="X153" s="227">
        <f t="shared" si="21"/>
        <v>0</v>
      </c>
      <c r="AB153" s="228" t="str">
        <f t="shared" si="22"/>
        <v>GoldEco-System Recycling Co., Ltd. East Plant</v>
      </c>
    </row>
    <row r="154" spans="1:28" s="227" customFormat="1" ht="175.5">
      <c r="A154" s="181"/>
      <c r="B154" s="182" t="s">
        <v>1098</v>
      </c>
      <c r="C154" s="186" t="s">
        <v>877</v>
      </c>
      <c r="D154" s="230" t="s">
        <v>877</v>
      </c>
      <c r="E154" s="182" t="s">
        <v>1077</v>
      </c>
      <c r="F154" s="182" t="s">
        <v>654</v>
      </c>
      <c r="G154" s="182" t="s">
        <v>13177</v>
      </c>
      <c r="H154" s="183" t="s">
        <v>16152</v>
      </c>
      <c r="I154" s="184" t="s">
        <v>1541</v>
      </c>
      <c r="J154" s="184" t="s">
        <v>1542</v>
      </c>
      <c r="K154" s="224"/>
      <c r="L154" s="224"/>
      <c r="M154" s="224"/>
      <c r="N154" s="224" t="s">
        <v>15993</v>
      </c>
      <c r="O154" s="224" t="s">
        <v>16153</v>
      </c>
      <c r="P154" s="185"/>
      <c r="Q154" s="225" t="s">
        <v>15840</v>
      </c>
      <c r="R154" s="182" t="str">
        <f ca="1">IF(ISERROR($V154),"",OFFSET('Smelter Look-up'!$C$4,$V154-4,0)&amp;"")</f>
        <v>Dowa</v>
      </c>
      <c r="S154" s="181" t="str">
        <f t="shared" ca="1" si="20"/>
        <v>JP</v>
      </c>
      <c r="T154" s="181" t="str">
        <f ca="1">IF(B154="","",IF(ISERROR(MATCH($J154,SorP!$B$1:$B$6226,0)),"",INDIRECT("'SorP'!$A$"&amp;MATCH($S154&amp;$J154,SorP!C:C,0))))</f>
        <v>JP-05</v>
      </c>
      <c r="U154" s="201"/>
      <c r="V154" s="226">
        <f>IF(C154="",NA(),IF(OR(C154="Smelter not listed",C154="Smelter not yet identified"),MATCH($B154&amp;$D154,'Smelter Look-up'!$J:$J,0),MATCH($B154&amp;$C154,'Smelter Look-up'!$J:$J,0)))</f>
        <v>68</v>
      </c>
      <c r="X154" s="227">
        <f t="shared" si="21"/>
        <v>0</v>
      </c>
      <c r="AB154" s="228" t="str">
        <f t="shared" si="22"/>
        <v>GoldDowa</v>
      </c>
    </row>
    <row r="155" spans="1:28" s="227" customFormat="1" ht="94.5">
      <c r="A155" s="181"/>
      <c r="B155" s="182" t="s">
        <v>1098</v>
      </c>
      <c r="C155" s="186" t="s">
        <v>2208</v>
      </c>
      <c r="D155" s="230" t="s">
        <v>2208</v>
      </c>
      <c r="E155" s="182" t="s">
        <v>1080</v>
      </c>
      <c r="F155" s="182" t="s">
        <v>653</v>
      </c>
      <c r="G155" s="182" t="s">
        <v>13177</v>
      </c>
      <c r="H155" s="183" t="s">
        <v>16154</v>
      </c>
      <c r="I155" s="184" t="s">
        <v>1540</v>
      </c>
      <c r="J155" s="184" t="s">
        <v>12818</v>
      </c>
      <c r="K155" s="224"/>
      <c r="L155" s="224"/>
      <c r="M155" s="224"/>
      <c r="N155" s="224" t="s">
        <v>15861</v>
      </c>
      <c r="O155" s="224" t="s">
        <v>16155</v>
      </c>
      <c r="P155" s="185"/>
      <c r="Q155" s="225" t="s">
        <v>15840</v>
      </c>
      <c r="R155" s="182" t="str">
        <f ca="1">IF(ISERROR($V155),"",OFFSET('Smelter Look-up'!$C$4,$V155-4,0)&amp;"")</f>
        <v>DSC (Do Sung Corporation)</v>
      </c>
      <c r="S155" s="181" t="str">
        <f t="shared" ca="1" si="20"/>
        <v>KR</v>
      </c>
      <c r="T155" s="181" t="str">
        <f ca="1">IF(B155="","",IF(ISERROR(MATCH($J155,SorP!$B$1:$B$6226,0)),"",INDIRECT("'SorP'!$A$"&amp;MATCH($S155&amp;$J155,SorP!C:C,0))))</f>
        <v>KR-41</v>
      </c>
      <c r="U155" s="201"/>
      <c r="V155" s="226">
        <f>IF(C155="",NA(),IF(OR(C155="Smelter not listed",C155="Smelter not yet identified"),MATCH($B155&amp;$D155,'Smelter Look-up'!$J:$J,0),MATCH($B155&amp;$C155,'Smelter Look-up'!$J:$J,0)))</f>
        <v>72</v>
      </c>
      <c r="X155" s="227">
        <f t="shared" si="21"/>
        <v>0</v>
      </c>
      <c r="AB155" s="228" t="str">
        <f t="shared" si="22"/>
        <v>GoldDSC (Do Sung Corporation)</v>
      </c>
    </row>
    <row r="156" spans="1:28" s="227" customFormat="1" ht="121.5">
      <c r="A156" s="181"/>
      <c r="B156" s="182" t="s">
        <v>1098</v>
      </c>
      <c r="C156" s="186" t="s">
        <v>651</v>
      </c>
      <c r="D156" s="230" t="s">
        <v>651</v>
      </c>
      <c r="E156" s="182" t="s">
        <v>1069</v>
      </c>
      <c r="F156" s="182" t="s">
        <v>652</v>
      </c>
      <c r="G156" s="182" t="s">
        <v>13177</v>
      </c>
      <c r="H156" s="183" t="s">
        <v>16156</v>
      </c>
      <c r="I156" s="184" t="s">
        <v>1539</v>
      </c>
      <c r="J156" s="184" t="s">
        <v>13534</v>
      </c>
      <c r="K156" s="224"/>
      <c r="L156" s="224"/>
      <c r="M156" s="224"/>
      <c r="N156" s="224">
        <v>-2146826246</v>
      </c>
      <c r="O156" s="224" t="s">
        <v>16157</v>
      </c>
      <c r="P156" s="185"/>
      <c r="Q156" s="225" t="s">
        <v>15840</v>
      </c>
      <c r="R156" s="182" t="str">
        <f ca="1">IF(ISERROR($V156),"",OFFSET('Smelter Look-up'!$C$4,$V156-4,0)&amp;"")</f>
        <v>Daye Non-Ferrous Metals Mining Ltd.</v>
      </c>
      <c r="S156" s="181" t="str">
        <f t="shared" ca="1" si="20"/>
        <v>CN</v>
      </c>
      <c r="T156" s="181" t="str">
        <f ca="1">IF(B156="","",IF(ISERROR(MATCH($J156,SorP!$B$1:$B$6226,0)),"",INDIRECT("'SorP'!$A$"&amp;MATCH($S156&amp;$J156,SorP!C:C,0))))</f>
        <v>CN-HB</v>
      </c>
      <c r="U156" s="201"/>
      <c r="V156" s="226">
        <f>IF(C156="",NA(),IF(OR(C156="Smelter not listed",C156="Smelter not yet identified"),MATCH($B156&amp;$D156,'Smelter Look-up'!$J:$J,0),MATCH($B156&amp;$C156,'Smelter Look-up'!$J:$J,0)))</f>
        <v>61</v>
      </c>
      <c r="X156" s="227">
        <f t="shared" si="21"/>
        <v>0</v>
      </c>
      <c r="AB156" s="228" t="str">
        <f t="shared" si="22"/>
        <v>GoldDaye Non-Ferrous Metals Mining Ltd.</v>
      </c>
    </row>
    <row r="157" spans="1:28" s="227" customFormat="1" ht="108">
      <c r="A157" s="181"/>
      <c r="B157" s="182" t="s">
        <v>1098</v>
      </c>
      <c r="C157" s="186" t="s">
        <v>524</v>
      </c>
      <c r="D157" s="230" t="s">
        <v>524</v>
      </c>
      <c r="E157" s="182" t="s">
        <v>1077</v>
      </c>
      <c r="F157" s="182" t="s">
        <v>650</v>
      </c>
      <c r="G157" s="182" t="s">
        <v>13177</v>
      </c>
      <c r="H157" s="183" t="s">
        <v>16158</v>
      </c>
      <c r="I157" s="184" t="s">
        <v>1537</v>
      </c>
      <c r="J157" s="184" t="s">
        <v>1509</v>
      </c>
      <c r="K157" s="224"/>
      <c r="L157" s="224"/>
      <c r="M157" s="224"/>
      <c r="N157" s="224" t="s">
        <v>15861</v>
      </c>
      <c r="O157" s="224" t="s">
        <v>16159</v>
      </c>
      <c r="P157" s="185"/>
      <c r="Q157" s="225" t="s">
        <v>15840</v>
      </c>
      <c r="R157" s="182" t="str">
        <f ca="1">IF(ISERROR($V157),"",OFFSET('Smelter Look-up'!$C$4,$V157-4,0)&amp;"")</f>
        <v>Chugai Mining</v>
      </c>
      <c r="S157" s="181" t="str">
        <f t="shared" ca="1" si="20"/>
        <v>JP</v>
      </c>
      <c r="T157" s="181" t="str">
        <f ca="1">IF(B157="","",IF(ISERROR(MATCH($J157,SorP!$B$1:$B$6226,0)),"",INDIRECT("'SorP'!$A$"&amp;MATCH($S157&amp;$J157,SorP!C:C,0))))</f>
        <v>JP-13</v>
      </c>
      <c r="U157" s="201"/>
      <c r="V157" s="226">
        <f>IF(C157="",NA(),IF(OR(C157="Smelter not listed",C157="Smelter not yet identified"),MATCH($B157&amp;$D157,'Smelter Look-up'!$J:$J,0),MATCH($B157&amp;$C157,'Smelter Look-up'!$J:$J,0)))</f>
        <v>59</v>
      </c>
      <c r="X157" s="227">
        <f t="shared" si="21"/>
        <v>0</v>
      </c>
      <c r="AB157" s="228" t="str">
        <f t="shared" si="22"/>
        <v>GoldChugai Mining</v>
      </c>
    </row>
    <row r="158" spans="1:28" s="227" customFormat="1" ht="67.5">
      <c r="A158" s="181"/>
      <c r="B158" s="182" t="s">
        <v>1098</v>
      </c>
      <c r="C158" s="186" t="s">
        <v>50</v>
      </c>
      <c r="D158" s="230" t="s">
        <v>50</v>
      </c>
      <c r="E158" s="182" t="s">
        <v>1076</v>
      </c>
      <c r="F158" s="182" t="s">
        <v>649</v>
      </c>
      <c r="G158" s="182" t="s">
        <v>13177</v>
      </c>
      <c r="H158" s="183" t="s">
        <v>15883</v>
      </c>
      <c r="I158" s="184" t="s">
        <v>1536</v>
      </c>
      <c r="J158" s="184" t="s">
        <v>6417</v>
      </c>
      <c r="K158" s="224"/>
      <c r="L158" s="224"/>
      <c r="M158" s="224"/>
      <c r="N158" s="224" t="s">
        <v>15928</v>
      </c>
      <c r="O158" s="224" t="s">
        <v>16160</v>
      </c>
      <c r="P158" s="185"/>
      <c r="Q158" s="225" t="s">
        <v>15840</v>
      </c>
      <c r="R158" s="182" t="str">
        <f ca="1">IF(ISERROR($V158),"",OFFSET('Smelter Look-up'!$C$4,$V158-4,0)&amp;"")</f>
        <v>Chimet S.p.A.</v>
      </c>
      <c r="S158" s="181" t="str">
        <f t="shared" ca="1" si="20"/>
        <v>IT</v>
      </c>
      <c r="T158" s="181" t="str">
        <f ca="1">IF(B158="","",IF(ISERROR(MATCH($J158,SorP!$B$1:$B$6226,0)),"",INDIRECT("'SorP'!$A$"&amp;MATCH($S158&amp;$J158,SorP!C:C,0))))</f>
        <v>IT-52</v>
      </c>
      <c r="U158" s="201"/>
      <c r="V158" s="226">
        <f>IF(C158="",NA(),IF(OR(C158="Smelter not listed",C158="Smelter not yet identified"),MATCH($B158&amp;$D158,'Smelter Look-up'!$J:$J,0),MATCH($B158&amp;$C158,'Smelter Look-up'!$J:$J,0)))</f>
        <v>56</v>
      </c>
      <c r="X158" s="227">
        <f t="shared" si="21"/>
        <v>0</v>
      </c>
      <c r="AB158" s="228" t="str">
        <f t="shared" si="22"/>
        <v>GoldChimet S.p.A.</v>
      </c>
    </row>
    <row r="159" spans="1:28" s="227" customFormat="1" ht="40.5">
      <c r="A159" s="181"/>
      <c r="B159" s="182" t="s">
        <v>1098</v>
      </c>
      <c r="C159" s="186" t="s">
        <v>2097</v>
      </c>
      <c r="D159" s="230" t="s">
        <v>2097</v>
      </c>
      <c r="E159" s="182" t="s">
        <v>1069</v>
      </c>
      <c r="F159" s="182" t="s">
        <v>725</v>
      </c>
      <c r="G159" s="182" t="s">
        <v>13177</v>
      </c>
      <c r="H159" s="183" t="s">
        <v>16161</v>
      </c>
      <c r="I159" s="184" t="s">
        <v>1534</v>
      </c>
      <c r="J159" s="184" t="s">
        <v>13540</v>
      </c>
      <c r="K159" s="224"/>
      <c r="L159" s="224"/>
      <c r="M159" s="224"/>
      <c r="N159" s="224">
        <v>-2146826246</v>
      </c>
      <c r="O159" s="224" t="s">
        <v>16162</v>
      </c>
      <c r="P159" s="185"/>
      <c r="Q159" s="225"/>
      <c r="R159" s="182" t="str">
        <f ca="1">IF(ISERROR($V159),"",OFFSET('Smelter Look-up'!$C$4,$V159-4,0)&amp;"")</f>
        <v>Yunnan Copper Industry Co., Ltd.</v>
      </c>
      <c r="S159" s="181" t="str">
        <f t="shared" ca="1" si="20"/>
        <v>CN</v>
      </c>
      <c r="T159" s="181" t="str">
        <f ca="1">IF(B159="","",IF(ISERROR(MATCH($J159,SorP!$B$1:$B$6226,0)),"",INDIRECT("'SorP'!$A$"&amp;MATCH($S159&amp;$J159,SorP!C:C,0))))</f>
        <v>CN-YN</v>
      </c>
      <c r="U159" s="201"/>
      <c r="V159" s="226">
        <f>IF(C159="",NA(),IF(OR(C159="Smelter not listed",C159="Smelter not yet identified"),MATCH($B159&amp;$D159,'Smelter Look-up'!$J:$J,0),MATCH($B159&amp;$C159,'Smelter Look-up'!$J:$J,0)))</f>
        <v>317</v>
      </c>
      <c r="X159" s="227">
        <f t="shared" si="21"/>
        <v>0</v>
      </c>
      <c r="AB159" s="228" t="str">
        <f t="shared" si="22"/>
        <v>GoldYunnan Copper Industry Co., Ltd.</v>
      </c>
    </row>
    <row r="160" spans="1:28" s="227" customFormat="1" ht="54">
      <c r="A160" s="181"/>
      <c r="B160" s="182" t="s">
        <v>1098</v>
      </c>
      <c r="C160" s="186" t="s">
        <v>2445</v>
      </c>
      <c r="D160" s="230" t="s">
        <v>2445</v>
      </c>
      <c r="E160" s="182" t="s">
        <v>1067</v>
      </c>
      <c r="F160" s="182" t="s">
        <v>648</v>
      </c>
      <c r="G160" s="182" t="s">
        <v>13177</v>
      </c>
      <c r="H160" s="183" t="s">
        <v>16163</v>
      </c>
      <c r="I160" s="184" t="s">
        <v>1532</v>
      </c>
      <c r="J160" s="184" t="s">
        <v>1533</v>
      </c>
      <c r="K160" s="224"/>
      <c r="L160" s="224"/>
      <c r="M160" s="224"/>
      <c r="N160" s="224" t="s">
        <v>15912</v>
      </c>
      <c r="O160" s="224" t="s">
        <v>16164</v>
      </c>
      <c r="P160" s="185"/>
      <c r="Q160" s="225" t="s">
        <v>15840</v>
      </c>
      <c r="R160" s="182" t="str">
        <f ca="1">IF(ISERROR($V160),"",OFFSET('Smelter Look-up'!$C$4,$V160-4,0)&amp;"")</f>
        <v>Cendres + Metaux S.A.</v>
      </c>
      <c r="S160" s="181" t="str">
        <f t="shared" ca="1" si="20"/>
        <v>CH</v>
      </c>
      <c r="T160" s="181" t="str">
        <f ca="1">IF(B160="","",IF(ISERROR(MATCH($J160,SorP!$B$1:$B$6226,0)),"",INDIRECT("'SorP'!$A$"&amp;MATCH($S160&amp;$J160,SorP!C:C,0))))</f>
        <v>CH-BE</v>
      </c>
      <c r="U160" s="201"/>
      <c r="V160" s="226">
        <f>IF(C160="",NA(),IF(OR(C160="Smelter not listed",C160="Smelter not yet identified"),MATCH($B160&amp;$D160,'Smelter Look-up'!$J:$J,0),MATCH($B160&amp;$C160,'Smelter Look-up'!$J:$J,0)))</f>
        <v>50</v>
      </c>
      <c r="X160" s="227">
        <f t="shared" si="21"/>
        <v>0</v>
      </c>
      <c r="AB160" s="228" t="str">
        <f t="shared" si="22"/>
        <v>GoldCendres + Metaux S.A.</v>
      </c>
    </row>
    <row r="161" spans="1:28" s="227" customFormat="1" ht="135">
      <c r="A161" s="181"/>
      <c r="B161" s="182" t="s">
        <v>1098</v>
      </c>
      <c r="C161" s="186" t="s">
        <v>2192</v>
      </c>
      <c r="D161" s="230" t="s">
        <v>2192</v>
      </c>
      <c r="E161" s="182" t="s">
        <v>1066</v>
      </c>
      <c r="F161" s="182" t="s">
        <v>647</v>
      </c>
      <c r="G161" s="182" t="s">
        <v>13177</v>
      </c>
      <c r="H161" s="183" t="s">
        <v>16165</v>
      </c>
      <c r="I161" s="184" t="s">
        <v>1528</v>
      </c>
      <c r="J161" s="184" t="s">
        <v>1529</v>
      </c>
      <c r="K161" s="224"/>
      <c r="L161" s="224"/>
      <c r="M161" s="224"/>
      <c r="N161" s="224" t="s">
        <v>15928</v>
      </c>
      <c r="O161" s="224" t="s">
        <v>16166</v>
      </c>
      <c r="P161" s="185"/>
      <c r="Q161" s="225" t="s">
        <v>15840</v>
      </c>
      <c r="R161" s="182" t="str">
        <f ca="1">IF(ISERROR($V161),"",OFFSET('Smelter Look-up'!$C$4,$V161-4,0)&amp;"")</f>
        <v>CCR Refinery - Glencore Canada Corporation</v>
      </c>
      <c r="S161" s="181" t="str">
        <f t="shared" ca="1" si="20"/>
        <v>CA</v>
      </c>
      <c r="T161" s="181" t="str">
        <f ca="1">IF(B161="","",IF(ISERROR(MATCH($J161,SorP!$B$1:$B$6226,0)),"",INDIRECT("'SorP'!$A$"&amp;MATCH($S161&amp;$J161,SorP!C:C,0))))</f>
        <v>CA-QC</v>
      </c>
      <c r="U161" s="201"/>
      <c r="V161" s="226">
        <f>IF(C161="",NA(),IF(OR(C161="Smelter not listed",C161="Smelter not yet identified"),MATCH($B161&amp;$D161,'Smelter Look-up'!$J:$J,0),MATCH($B161&amp;$C161,'Smelter Look-up'!$J:$J,0)))</f>
        <v>48</v>
      </c>
      <c r="X161" s="227">
        <f t="shared" si="21"/>
        <v>0</v>
      </c>
      <c r="AB161" s="228" t="str">
        <f t="shared" si="22"/>
        <v>GoldCCR Refinery - Glencore Canada Corporation</v>
      </c>
    </row>
    <row r="162" spans="1:28" s="227" customFormat="1" ht="67.5">
      <c r="A162" s="181"/>
      <c r="B162" s="182" t="s">
        <v>1098</v>
      </c>
      <c r="C162" s="186" t="s">
        <v>876</v>
      </c>
      <c r="D162" s="230" t="s">
        <v>876</v>
      </c>
      <c r="E162" s="182" t="s">
        <v>1082</v>
      </c>
      <c r="F162" s="182" t="s">
        <v>646</v>
      </c>
      <c r="G162" s="182" t="s">
        <v>13177</v>
      </c>
      <c r="H162" s="183" t="s">
        <v>16167</v>
      </c>
      <c r="I162" s="184" t="s">
        <v>1526</v>
      </c>
      <c r="J162" s="184" t="s">
        <v>1527</v>
      </c>
      <c r="K162" s="224"/>
      <c r="L162" s="224"/>
      <c r="M162" s="224"/>
      <c r="N162" s="224">
        <v>-2146826246</v>
      </c>
      <c r="O162" s="224" t="s">
        <v>16168</v>
      </c>
      <c r="P162" s="185"/>
      <c r="Q162" s="225"/>
      <c r="R162" s="182" t="str">
        <f ca="1">IF(ISERROR($V162),"",OFFSET('Smelter Look-up'!$C$4,$V162-4,0)&amp;"")</f>
        <v>Caridad</v>
      </c>
      <c r="S162" s="181" t="str">
        <f t="shared" ca="1" si="20"/>
        <v>MX</v>
      </c>
      <c r="T162" s="181" t="str">
        <f ca="1">IF(B162="","",IF(ISERROR(MATCH($J162,SorP!$B$1:$B$6226,0)),"",INDIRECT("'SorP'!$A$"&amp;MATCH($S162&amp;$J162,SorP!C:C,0))))</f>
        <v>MX-SON</v>
      </c>
      <c r="U162" s="201"/>
      <c r="V162" s="226">
        <f>IF(C162="",NA(),IF(OR(C162="Smelter not listed",C162="Smelter not yet identified"),MATCH($B162&amp;$D162,'Smelter Look-up'!$J:$J,0),MATCH($B162&amp;$C162,'Smelter Look-up'!$J:$J,0)))</f>
        <v>46</v>
      </c>
      <c r="X162" s="227">
        <f t="shared" si="21"/>
        <v>0</v>
      </c>
      <c r="AB162" s="228" t="str">
        <f t="shared" si="22"/>
        <v>GoldCaridad</v>
      </c>
    </row>
    <row r="163" spans="1:28" s="227" customFormat="1" ht="108">
      <c r="A163" s="181"/>
      <c r="B163" s="182" t="s">
        <v>1098</v>
      </c>
      <c r="C163" s="186" t="s">
        <v>644</v>
      </c>
      <c r="D163" s="230" t="s">
        <v>644</v>
      </c>
      <c r="E163" s="182" t="s">
        <v>1070</v>
      </c>
      <c r="F163" s="182" t="s">
        <v>645</v>
      </c>
      <c r="G163" s="182" t="s">
        <v>13177</v>
      </c>
      <c r="H163" s="183" t="s">
        <v>16137</v>
      </c>
      <c r="I163" s="184" t="s">
        <v>1510</v>
      </c>
      <c r="J163" s="184" t="s">
        <v>1511</v>
      </c>
      <c r="K163" s="224"/>
      <c r="L163" s="224"/>
      <c r="M163" s="224"/>
      <c r="N163" s="224" t="s">
        <v>15916</v>
      </c>
      <c r="O163" s="224" t="s">
        <v>16169</v>
      </c>
      <c r="P163" s="185"/>
      <c r="Q163" s="225" t="s">
        <v>15840</v>
      </c>
      <c r="R163" s="182" t="str">
        <f ca="1">IF(ISERROR($V163),"",OFFSET('Smelter Look-up'!$C$4,$V163-4,0)&amp;"")</f>
        <v>C. Hafner GmbH + Co. KG</v>
      </c>
      <c r="S163" s="181" t="str">
        <f t="shared" ca="1" si="20"/>
        <v>DE</v>
      </c>
      <c r="T163" s="181" t="str">
        <f ca="1">IF(B163="","",IF(ISERROR(MATCH($J163,SorP!$B$1:$B$6226,0)),"",INDIRECT("'SorP'!$A$"&amp;MATCH($S163&amp;$J163,SorP!C:C,0))))</f>
        <v>DE-BW</v>
      </c>
      <c r="U163" s="201"/>
      <c r="V163" s="226">
        <f>IF(C163="",NA(),IF(OR(C163="Smelter not listed",C163="Smelter not yet identified"),MATCH($B163&amp;$D163,'Smelter Look-up'!$J:$J,0),MATCH($B163&amp;$C163,'Smelter Look-up'!$J:$J,0)))</f>
        <v>45</v>
      </c>
      <c r="X163" s="227">
        <f t="shared" si="21"/>
        <v>0</v>
      </c>
      <c r="AB163" s="228" t="str">
        <f t="shared" si="22"/>
        <v>GoldC. Hafner GmbH + Co. KG</v>
      </c>
    </row>
    <row r="164" spans="1:28" s="227" customFormat="1" ht="81">
      <c r="A164" s="181"/>
      <c r="B164" s="182" t="s">
        <v>1098</v>
      </c>
      <c r="C164" s="186" t="s">
        <v>16170</v>
      </c>
      <c r="D164" s="230" t="s">
        <v>16170</v>
      </c>
      <c r="E164" s="182" t="s">
        <v>858</v>
      </c>
      <c r="F164" s="182" t="s">
        <v>643</v>
      </c>
      <c r="G164" s="182" t="s">
        <v>13177</v>
      </c>
      <c r="H164" s="183" t="s">
        <v>16171</v>
      </c>
      <c r="I164" s="184" t="s">
        <v>1525</v>
      </c>
      <c r="J164" s="184" t="s">
        <v>10222</v>
      </c>
      <c r="K164" s="224"/>
      <c r="L164" s="224"/>
      <c r="M164" s="224"/>
      <c r="N164" s="224" t="s">
        <v>15928</v>
      </c>
      <c r="O164" s="224" t="s">
        <v>16172</v>
      </c>
      <c r="P164" s="185"/>
      <c r="Q164" s="225" t="s">
        <v>15840</v>
      </c>
      <c r="R164" s="182" t="str">
        <f ca="1">IF(ISERROR($V164),"",OFFSET('Smelter Look-up'!$C$4,$V164-4,0)&amp;"")</f>
        <v/>
      </c>
      <c r="S164" s="181" t="str">
        <f t="shared" ca="1" si="20"/>
        <v>SE</v>
      </c>
      <c r="T164" s="181" t="str">
        <f ca="1">IF(B164="","",IF(ISERROR(MATCH($J164,SorP!$B$1:$B$6226,0)),"",INDIRECT("'SorP'!$A$"&amp;MATCH($S164&amp;$J164,SorP!C:C,0))))</f>
        <v>SE-AC</v>
      </c>
      <c r="U164" s="201"/>
      <c r="V164" s="226" t="e">
        <f>IF(C164="",NA(),IF(OR(C164="Smelter not listed",C164="Smelter not yet identified"),MATCH($B164&amp;$D164,'Smelter Look-up'!$J:$J,0),MATCH($B164&amp;$C164,'Smelter Look-up'!$J:$J,0)))</f>
        <v>#N/A</v>
      </c>
      <c r="X164" s="227">
        <f t="shared" si="21"/>
        <v>0</v>
      </c>
      <c r="AB164" s="228" t="str">
        <f t="shared" si="22"/>
        <v>GoldBoliden AB</v>
      </c>
    </row>
    <row r="165" spans="1:28" s="227" customFormat="1" ht="94.5">
      <c r="A165" s="181"/>
      <c r="B165" s="182" t="s">
        <v>1098</v>
      </c>
      <c r="C165" s="186" t="s">
        <v>875</v>
      </c>
      <c r="D165" s="230" t="s">
        <v>875</v>
      </c>
      <c r="E165" s="182" t="s">
        <v>852</v>
      </c>
      <c r="F165" s="182" t="s">
        <v>642</v>
      </c>
      <c r="G165" s="182" t="s">
        <v>13177</v>
      </c>
      <c r="H165" s="183" t="s">
        <v>16173</v>
      </c>
      <c r="I165" s="184" t="s">
        <v>2154</v>
      </c>
      <c r="J165" s="184" t="s">
        <v>9394</v>
      </c>
      <c r="K165" s="224"/>
      <c r="L165" s="224"/>
      <c r="M165" s="224"/>
      <c r="N165" s="224" t="s">
        <v>15928</v>
      </c>
      <c r="O165" s="224" t="s">
        <v>16174</v>
      </c>
      <c r="P165" s="185"/>
      <c r="Q165" s="225" t="s">
        <v>15840</v>
      </c>
      <c r="R165" s="182" t="str">
        <f ca="1">IF(ISERROR($V165),"",OFFSET('Smelter Look-up'!$C$4,$V165-4,0)&amp;"")</f>
        <v>Bangko Sentral ng Pilipinas (Central Bank of the Philippines)</v>
      </c>
      <c r="S165" s="181" t="str">
        <f t="shared" ca="1" si="20"/>
        <v>PH</v>
      </c>
      <c r="T165" s="181" t="str">
        <f ca="1">IF(B165="","",IF(ISERROR(MATCH($J165,SorP!$B$1:$B$6226,0)),"",INDIRECT("'SorP'!$A$"&amp;MATCH($S165&amp;$J165,SorP!C:C,0))))</f>
        <v>PH-RIZ</v>
      </c>
      <c r="U165" s="201"/>
      <c r="V165" s="226">
        <f>IF(C165="",NA(),IF(OR(C165="Smelter not listed",C165="Smelter not yet identified"),MATCH($B165&amp;$D165,'Smelter Look-up'!$J:$J,0),MATCH($B165&amp;$C165,'Smelter Look-up'!$J:$J,0)))</f>
        <v>43</v>
      </c>
      <c r="X165" s="227">
        <f t="shared" si="21"/>
        <v>0</v>
      </c>
      <c r="AB165" s="228" t="str">
        <f t="shared" si="22"/>
        <v>GoldBangko Sentral ng Pilipinas (Central Bank of the Philippines)</v>
      </c>
    </row>
    <row r="166" spans="1:28" s="227" customFormat="1" ht="162">
      <c r="A166" s="181"/>
      <c r="B166" s="182" t="s">
        <v>1098</v>
      </c>
      <c r="C166" s="186" t="s">
        <v>1191</v>
      </c>
      <c r="D166" s="230" t="s">
        <v>1191</v>
      </c>
      <c r="E166" s="182" t="s">
        <v>1070</v>
      </c>
      <c r="F166" s="182" t="s">
        <v>641</v>
      </c>
      <c r="G166" s="182" t="s">
        <v>13177</v>
      </c>
      <c r="H166" s="183" t="s">
        <v>16175</v>
      </c>
      <c r="I166" s="184" t="s">
        <v>1523</v>
      </c>
      <c r="J166" s="184" t="s">
        <v>1523</v>
      </c>
      <c r="K166" s="224"/>
      <c r="L166" s="224"/>
      <c r="M166" s="224"/>
      <c r="N166" s="224" t="s">
        <v>15928</v>
      </c>
      <c r="O166" s="224" t="s">
        <v>16176</v>
      </c>
      <c r="P166" s="185"/>
      <c r="Q166" s="225" t="s">
        <v>15840</v>
      </c>
      <c r="R166" s="182" t="str">
        <f ca="1">IF(ISERROR($V166),"",OFFSET('Smelter Look-up'!$C$4,$V166-4,0)&amp;"")</f>
        <v>Aurubis AG</v>
      </c>
      <c r="S166" s="181" t="str">
        <f t="shared" ref="S166:S196" ca="1" si="23">IF(B166="","",IF(ISERROR(MATCH($E166,CL,0)),"Unknown",INDIRECT("'C'!$A$"&amp;MATCH($E166,CL,0)+1)))</f>
        <v>DE</v>
      </c>
      <c r="T166" s="181" t="str">
        <f ca="1">IF(B166="","",IF(ISERROR(MATCH($J166,SorP!$B$1:$B$6226,0)),"",INDIRECT("'SorP'!$A$"&amp;MATCH($S166&amp;$J166,SorP!C:C,0))))</f>
        <v>DE-HH</v>
      </c>
      <c r="U166" s="201"/>
      <c r="V166" s="226">
        <f>IF(C166="",NA(),IF(OR(C166="Smelter not listed",C166="Smelter not yet identified"),MATCH($B166&amp;$D166,'Smelter Look-up'!$J:$J,0),MATCH($B166&amp;$C166,'Smelter Look-up'!$J:$J,0)))</f>
        <v>39</v>
      </c>
      <c r="X166" s="227">
        <f t="shared" ref="X166:X196" si="24">IF(AND(C166="Smelter not listed",OR(LEN(D166)=0,LEN(E166)=0)),1,0)</f>
        <v>0</v>
      </c>
      <c r="AB166" s="228" t="str">
        <f t="shared" ref="AB166:AB196" si="25">B166&amp;C166</f>
        <v>GoldAurubis AG</v>
      </c>
    </row>
    <row r="167" spans="1:28" s="227" customFormat="1" ht="67.5">
      <c r="A167" s="181"/>
      <c r="B167" s="182" t="s">
        <v>1098</v>
      </c>
      <c r="C167" s="186" t="s">
        <v>608</v>
      </c>
      <c r="D167" s="230" t="s">
        <v>608</v>
      </c>
      <c r="E167" s="182" t="s">
        <v>860</v>
      </c>
      <c r="F167" s="182" t="s">
        <v>640</v>
      </c>
      <c r="G167" s="182" t="s">
        <v>13177</v>
      </c>
      <c r="H167" s="183" t="s">
        <v>16177</v>
      </c>
      <c r="I167" s="184" t="s">
        <v>1522</v>
      </c>
      <c r="J167" s="184" t="s">
        <v>11215</v>
      </c>
      <c r="K167" s="224"/>
      <c r="L167" s="224"/>
      <c r="M167" s="224"/>
      <c r="N167" s="224">
        <v>-2146826246</v>
      </c>
      <c r="O167" s="224" t="s">
        <v>16178</v>
      </c>
      <c r="P167" s="185"/>
      <c r="Q167" s="225"/>
      <c r="R167" s="182" t="str">
        <f ca="1">IF(ISERROR($V167),"",OFFSET('Smelter Look-up'!$C$4,$V167-4,0)&amp;"")</f>
        <v>Atasay Kuyumculuk Sanayi Ve Ticaret A.S.</v>
      </c>
      <c r="S167" s="181" t="str">
        <f t="shared" ca="1" si="23"/>
        <v>TR</v>
      </c>
      <c r="T167" s="181" t="str">
        <f ca="1">IF(B167="","",IF(ISERROR(MATCH($J167,SorP!$B$1:$B$6226,0)),"",INDIRECT("'SorP'!$A$"&amp;MATCH($S167&amp;$J167,SorP!C:C,0))))</f>
        <v>TR-34</v>
      </c>
      <c r="U167" s="201"/>
      <c r="V167" s="226">
        <f>IF(C167="",NA(),IF(OR(C167="Smelter not listed",C167="Smelter not yet identified"),MATCH($B167&amp;$D167,'Smelter Look-up'!$J:$J,0),MATCH($B167&amp;$C167,'Smelter Look-up'!$J:$J,0)))</f>
        <v>35</v>
      </c>
      <c r="X167" s="227">
        <f t="shared" si="24"/>
        <v>0</v>
      </c>
      <c r="AB167" s="228" t="str">
        <f t="shared" si="25"/>
        <v>GoldAtasay Kuyumculuk Sanayi Ve Ticaret A.S.</v>
      </c>
    </row>
    <row r="168" spans="1:28" s="227" customFormat="1" ht="229.5">
      <c r="A168" s="181"/>
      <c r="B168" s="182" t="s">
        <v>1098</v>
      </c>
      <c r="C168" s="186" t="s">
        <v>2096</v>
      </c>
      <c r="D168" s="230" t="s">
        <v>2096</v>
      </c>
      <c r="E168" s="182" t="s">
        <v>1077</v>
      </c>
      <c r="F168" s="182" t="s">
        <v>639</v>
      </c>
      <c r="G168" s="182" t="s">
        <v>13177</v>
      </c>
      <c r="H168" s="183" t="s">
        <v>16179</v>
      </c>
      <c r="I168" s="184" t="s">
        <v>1520</v>
      </c>
      <c r="J168" s="184" t="s">
        <v>1521</v>
      </c>
      <c r="K168" s="224"/>
      <c r="L168" s="224"/>
      <c r="M168" s="224"/>
      <c r="N168" s="224" t="s">
        <v>16150</v>
      </c>
      <c r="O168" s="224" t="s">
        <v>16180</v>
      </c>
      <c r="P168" s="185"/>
      <c r="Q168" s="225" t="s">
        <v>15840</v>
      </c>
      <c r="R168" s="182" t="str">
        <f ca="1">IF(ISERROR($V168),"",OFFSET('Smelter Look-up'!$C$4,$V168-4,0)&amp;"")</f>
        <v>Asaka Riken Co., Ltd.</v>
      </c>
      <c r="S168" s="181" t="str">
        <f t="shared" ca="1" si="23"/>
        <v>JP</v>
      </c>
      <c r="T168" s="181" t="str">
        <f ca="1">IF(B168="","",IF(ISERROR(MATCH($J168,SorP!$B$1:$B$6226,0)),"",INDIRECT("'SorP'!$A$"&amp;MATCH($S168&amp;$J168,SorP!C:C,0))))</f>
        <v>JP-07</v>
      </c>
      <c r="U168" s="201"/>
      <c r="V168" s="226">
        <f>IF(C168="",NA(),IF(OR(C168="Smelter not listed",C168="Smelter not yet identified"),MATCH($B168&amp;$D168,'Smelter Look-up'!$J:$J,0),MATCH($B168&amp;$C168,'Smelter Look-up'!$J:$J,0)))</f>
        <v>33</v>
      </c>
      <c r="X168" s="227">
        <f t="shared" si="24"/>
        <v>0</v>
      </c>
      <c r="AB168" s="228" t="str">
        <f t="shared" si="25"/>
        <v>GoldAsaka Riken Co., Ltd.</v>
      </c>
    </row>
    <row r="169" spans="1:28" s="227" customFormat="1" ht="175.5">
      <c r="A169" s="181"/>
      <c r="B169" s="182" t="s">
        <v>1098</v>
      </c>
      <c r="C169" s="186" t="s">
        <v>2237</v>
      </c>
      <c r="D169" s="230" t="s">
        <v>2237</v>
      </c>
      <c r="E169" s="182" t="s">
        <v>1077</v>
      </c>
      <c r="F169" s="182" t="s">
        <v>638</v>
      </c>
      <c r="G169" s="182" t="s">
        <v>13177</v>
      </c>
      <c r="H169" s="183" t="s">
        <v>16181</v>
      </c>
      <c r="I169" s="184" t="s">
        <v>16182</v>
      </c>
      <c r="J169" s="184" t="s">
        <v>1518</v>
      </c>
      <c r="K169" s="224"/>
      <c r="L169" s="224"/>
      <c r="M169" s="224"/>
      <c r="N169" s="224" t="s">
        <v>15988</v>
      </c>
      <c r="O169" s="224" t="s">
        <v>16183</v>
      </c>
      <c r="P169" s="185"/>
      <c r="Q169" s="225" t="s">
        <v>15840</v>
      </c>
      <c r="R169" s="182" t="str">
        <f ca="1">IF(ISERROR($V169),"",OFFSET('Smelter Look-up'!$C$4,$V169-4,0)&amp;"")</f>
        <v>ASAHI METALFINE, Inc.</v>
      </c>
      <c r="S169" s="181" t="str">
        <f t="shared" ca="1" si="23"/>
        <v>JP</v>
      </c>
      <c r="T169" s="181" t="str">
        <f ca="1">IF(B169="","",IF(ISERROR(MATCH($J169,SorP!$B$1:$B$6226,0)),"",INDIRECT("'SorP'!$A$"&amp;MATCH($S169&amp;$J169,SorP!C:C,0))))</f>
        <v>JP-28</v>
      </c>
      <c r="U169" s="201"/>
      <c r="V169" s="226">
        <f>IF(C169="",NA(),IF(OR(C169="Smelter not listed",C169="Smelter not yet identified"),MATCH($B169&amp;$D169,'Smelter Look-up'!$J:$J,0),MATCH($B169&amp;$C169,'Smelter Look-up'!$J:$J,0)))</f>
        <v>30</v>
      </c>
      <c r="X169" s="227">
        <f t="shared" si="24"/>
        <v>0</v>
      </c>
      <c r="AB169" s="228" t="str">
        <f t="shared" si="25"/>
        <v>GoldAsahi Pretec Corp.</v>
      </c>
    </row>
    <row r="170" spans="1:28" s="227" customFormat="1" ht="121.5">
      <c r="A170" s="181"/>
      <c r="B170" s="182" t="s">
        <v>1098</v>
      </c>
      <c r="C170" s="186" t="s">
        <v>2236</v>
      </c>
      <c r="D170" s="230" t="s">
        <v>2236</v>
      </c>
      <c r="E170" s="182" t="s">
        <v>1067</v>
      </c>
      <c r="F170" s="182" t="s">
        <v>637</v>
      </c>
      <c r="G170" s="182" t="s">
        <v>13177</v>
      </c>
      <c r="H170" s="183" t="s">
        <v>16184</v>
      </c>
      <c r="I170" s="184" t="s">
        <v>1516</v>
      </c>
      <c r="J170" s="184" t="s">
        <v>1517</v>
      </c>
      <c r="K170" s="224"/>
      <c r="L170" s="224"/>
      <c r="M170" s="224"/>
      <c r="N170" s="224" t="s">
        <v>16135</v>
      </c>
      <c r="O170" s="224" t="s">
        <v>16185</v>
      </c>
      <c r="P170" s="185"/>
      <c r="Q170" s="225" t="s">
        <v>15840</v>
      </c>
      <c r="R170" s="182" t="str">
        <f ca="1">IF(ISERROR($V170),"",OFFSET('Smelter Look-up'!$C$4,$V170-4,0)&amp;"")</f>
        <v>Argor-Heraeus S.A.</v>
      </c>
      <c r="S170" s="181" t="str">
        <f t="shared" ca="1" si="23"/>
        <v>CH</v>
      </c>
      <c r="T170" s="181" t="str">
        <f ca="1">IF(B170="","",IF(ISERROR(MATCH($J170,SorP!$B$1:$B$6226,0)),"",INDIRECT("'SorP'!$A$"&amp;MATCH($S170&amp;$J170,SorP!C:C,0))))</f>
        <v>CH-TI</v>
      </c>
      <c r="U170" s="201"/>
      <c r="V170" s="226">
        <f>IF(C170="",NA(),IF(OR(C170="Smelter not listed",C170="Smelter not yet identified"),MATCH($B170&amp;$D170,'Smelter Look-up'!$J:$J,0),MATCH($B170&amp;$C170,'Smelter Look-up'!$J:$J,0)))</f>
        <v>28</v>
      </c>
      <c r="X170" s="227">
        <f t="shared" si="24"/>
        <v>0</v>
      </c>
      <c r="AB170" s="228" t="str">
        <f t="shared" si="25"/>
        <v>GoldArgor-Heraeus S.A.</v>
      </c>
    </row>
    <row r="171" spans="1:28" s="227" customFormat="1" ht="54">
      <c r="A171" s="181"/>
      <c r="B171" s="182" t="s">
        <v>1098</v>
      </c>
      <c r="C171" s="186" t="s">
        <v>12375</v>
      </c>
      <c r="D171" s="230" t="s">
        <v>12375</v>
      </c>
      <c r="E171" s="182" t="s">
        <v>1065</v>
      </c>
      <c r="F171" s="182" t="s">
        <v>636</v>
      </c>
      <c r="G171" s="182" t="s">
        <v>13177</v>
      </c>
      <c r="H171" s="183" t="s">
        <v>16186</v>
      </c>
      <c r="I171" s="184" t="s">
        <v>1514</v>
      </c>
      <c r="J171" s="184" t="s">
        <v>1515</v>
      </c>
      <c r="K171" s="224"/>
      <c r="L171" s="224"/>
      <c r="M171" s="224"/>
      <c r="N171" s="224" t="s">
        <v>15928</v>
      </c>
      <c r="O171" s="224" t="s">
        <v>16187</v>
      </c>
      <c r="P171" s="185"/>
      <c r="Q171" s="225" t="s">
        <v>15840</v>
      </c>
      <c r="R171" s="182" t="str">
        <f ca="1">IF(ISERROR($V171),"",OFFSET('Smelter Look-up'!$C$4,$V171-4,0)&amp;"")</f>
        <v>AngloGold Ashanti Corrego do Sitio Mineracao</v>
      </c>
      <c r="S171" s="181" t="str">
        <f t="shared" ca="1" si="23"/>
        <v>BR</v>
      </c>
      <c r="T171" s="181" t="str">
        <f ca="1">IF(B171="","",IF(ISERROR(MATCH($J171,SorP!$B$1:$B$6226,0)),"",INDIRECT("'SorP'!$A$"&amp;MATCH($S171&amp;$J171,SorP!C:C,0))))</f>
        <v>BR-MG</v>
      </c>
      <c r="U171" s="201"/>
      <c r="V171" s="226">
        <f>IF(C171="",NA(),IF(OR(C171="Smelter not listed",C171="Smelter not yet identified"),MATCH($B171&amp;$D171,'Smelter Look-up'!$J:$J,0),MATCH($B171&amp;$C171,'Smelter Look-up'!$J:$J,0)))</f>
        <v>23</v>
      </c>
      <c r="X171" s="227">
        <f t="shared" si="24"/>
        <v>0</v>
      </c>
      <c r="AB171" s="228" t="str">
        <f t="shared" si="25"/>
        <v>GoldAngloGold Ashanti Corrego do Sitio Mineracao</v>
      </c>
    </row>
    <row r="172" spans="1:28" s="227" customFormat="1" ht="162">
      <c r="A172" s="181"/>
      <c r="B172" s="182" t="s">
        <v>1098</v>
      </c>
      <c r="C172" s="186" t="s">
        <v>607</v>
      </c>
      <c r="D172" s="230" t="s">
        <v>607</v>
      </c>
      <c r="E172" s="182" t="s">
        <v>862</v>
      </c>
      <c r="F172" s="182" t="s">
        <v>635</v>
      </c>
      <c r="G172" s="182" t="s">
        <v>13177</v>
      </c>
      <c r="H172" s="183" t="s">
        <v>16188</v>
      </c>
      <c r="I172" s="184" t="s">
        <v>1512</v>
      </c>
      <c r="J172" s="184" t="s">
        <v>11961</v>
      </c>
      <c r="K172" s="224"/>
      <c r="L172" s="224"/>
      <c r="M172" s="224"/>
      <c r="N172" s="224" t="s">
        <v>15928</v>
      </c>
      <c r="O172" s="224" t="s">
        <v>16189</v>
      </c>
      <c r="P172" s="185"/>
      <c r="Q172" s="225" t="s">
        <v>15840</v>
      </c>
      <c r="R172" s="182" t="str">
        <f ca="1">IF(ISERROR($V172),"",OFFSET('Smelter Look-up'!$C$4,$V172-4,0)&amp;"")</f>
        <v>Almalyk Mining and Metallurgical Complex (AMMC)</v>
      </c>
      <c r="S172" s="181" t="str">
        <f t="shared" ca="1" si="23"/>
        <v>UZ</v>
      </c>
      <c r="T172" s="181" t="str">
        <f ca="1">IF(B172="","",IF(ISERROR(MATCH($J172,SorP!$B$1:$B$6226,0)),"",INDIRECT("'SorP'!$A$"&amp;MATCH($S172&amp;$J172,SorP!C:C,0))))</f>
        <v>UZ-TO</v>
      </c>
      <c r="U172" s="201"/>
      <c r="V172" s="226">
        <f>IF(C172="",NA(),IF(OR(C172="Smelter not listed",C172="Smelter not yet identified"),MATCH($B172&amp;$D172,'Smelter Look-up'!$J:$J,0),MATCH($B172&amp;$C172,'Smelter Look-up'!$J:$J,0)))</f>
        <v>20</v>
      </c>
      <c r="X172" s="227">
        <f t="shared" si="24"/>
        <v>0</v>
      </c>
      <c r="AB172" s="228" t="str">
        <f t="shared" si="25"/>
        <v>GoldAlmalyk Mining and Metallurgical Complex (AMMC)</v>
      </c>
    </row>
    <row r="173" spans="1:28" s="227" customFormat="1" ht="81">
      <c r="A173" s="181"/>
      <c r="B173" s="182" t="s">
        <v>1098</v>
      </c>
      <c r="C173" s="186" t="s">
        <v>15276</v>
      </c>
      <c r="D173" s="230" t="s">
        <v>15276</v>
      </c>
      <c r="E173" s="182" t="s">
        <v>1070</v>
      </c>
      <c r="F173" s="182" t="s">
        <v>634</v>
      </c>
      <c r="G173" s="182" t="s">
        <v>13177</v>
      </c>
      <c r="H173" s="183" t="s">
        <v>16137</v>
      </c>
      <c r="I173" s="184" t="s">
        <v>1510</v>
      </c>
      <c r="J173" s="184" t="s">
        <v>1511</v>
      </c>
      <c r="K173" s="224"/>
      <c r="L173" s="224"/>
      <c r="M173" s="224"/>
      <c r="N173" s="224" t="s">
        <v>16190</v>
      </c>
      <c r="O173" s="224" t="s">
        <v>16191</v>
      </c>
      <c r="P173" s="185"/>
      <c r="Q173" s="225" t="s">
        <v>15840</v>
      </c>
      <c r="R173" s="182" t="str">
        <f ca="1">IF(ISERROR($V173),"",OFFSET('Smelter Look-up'!$C$4,$V173-4,0)&amp;"")</f>
        <v>Agosi AG</v>
      </c>
      <c r="S173" s="181" t="str">
        <f t="shared" ca="1" si="23"/>
        <v>DE</v>
      </c>
      <c r="T173" s="181" t="str">
        <f ca="1">IF(B173="","",IF(ISERROR(MATCH($J173,SorP!$B$1:$B$6226,0)),"",INDIRECT("'SorP'!$A$"&amp;MATCH($S173&amp;$J173,SorP!C:C,0))))</f>
        <v>DE-BW</v>
      </c>
      <c r="U173" s="201"/>
      <c r="V173" s="226">
        <f>IF(C173="",NA(),IF(OR(C173="Smelter not listed",C173="Smelter not yet identified"),MATCH($B173&amp;$D173,'Smelter Look-up'!$J:$J,0),MATCH($B173&amp;$C173,'Smelter Look-up'!$J:$J,0)))</f>
        <v>10</v>
      </c>
      <c r="X173" s="227">
        <f t="shared" si="24"/>
        <v>0</v>
      </c>
      <c r="AB173" s="228" t="str">
        <f t="shared" si="25"/>
        <v>GoldAgosi AG</v>
      </c>
    </row>
    <row r="174" spans="1:28" s="227" customFormat="1" ht="94.5">
      <c r="A174" s="181"/>
      <c r="B174" s="182" t="s">
        <v>1098</v>
      </c>
      <c r="C174" s="186" t="s">
        <v>2095</v>
      </c>
      <c r="D174" s="230" t="s">
        <v>2095</v>
      </c>
      <c r="E174" s="182" t="s">
        <v>1077</v>
      </c>
      <c r="F174" s="182" t="s">
        <v>633</v>
      </c>
      <c r="G174" s="182" t="s">
        <v>13177</v>
      </c>
      <c r="H174" s="183" t="s">
        <v>16192</v>
      </c>
      <c r="I174" s="184" t="s">
        <v>1508</v>
      </c>
      <c r="J174" s="184" t="s">
        <v>1509</v>
      </c>
      <c r="K174" s="224"/>
      <c r="L174" s="224"/>
      <c r="M174" s="224"/>
      <c r="N174" s="224" t="s">
        <v>16150</v>
      </c>
      <c r="O174" s="224" t="s">
        <v>16193</v>
      </c>
      <c r="P174" s="185"/>
      <c r="Q174" s="225" t="s">
        <v>15840</v>
      </c>
      <c r="R174" s="182" t="str">
        <f ca="1">IF(ISERROR($V174),"",OFFSET('Smelter Look-up'!$C$4,$V174-4,0)&amp;"")</f>
        <v>Aida Chemical Industries Co., Ltd.</v>
      </c>
      <c r="S174" s="181" t="str">
        <f t="shared" ca="1" si="23"/>
        <v>JP</v>
      </c>
      <c r="T174" s="181" t="str">
        <f ca="1">IF(B174="","",IF(ISERROR(MATCH($J174,SorP!$B$1:$B$6226,0)),"",INDIRECT("'SorP'!$A$"&amp;MATCH($S174&amp;$J174,SorP!C:C,0))))</f>
        <v>JP-13</v>
      </c>
      <c r="U174" s="201"/>
      <c r="V174" s="226">
        <f>IF(C174="",NA(),IF(OR(C174="Smelter not listed",C174="Smelter not yet identified"),MATCH($B174&amp;$D174,'Smelter Look-up'!$J:$J,0),MATCH($B174&amp;$C174,'Smelter Look-up'!$J:$J,0)))</f>
        <v>13</v>
      </c>
      <c r="X174" s="227">
        <f t="shared" si="24"/>
        <v>0</v>
      </c>
      <c r="AB174" s="228" t="str">
        <f t="shared" si="25"/>
        <v>GoldAida Chemical Industries Co., Ltd.</v>
      </c>
    </row>
    <row r="175" spans="1:28" s="227" customFormat="1" ht="54">
      <c r="A175" s="181"/>
      <c r="B175" s="182" t="s">
        <v>1098</v>
      </c>
      <c r="C175" s="186" t="s">
        <v>1349</v>
      </c>
      <c r="D175" s="230" t="s">
        <v>1349</v>
      </c>
      <c r="E175" s="182" t="s">
        <v>2384</v>
      </c>
      <c r="F175" s="182" t="s">
        <v>1350</v>
      </c>
      <c r="G175" s="182" t="s">
        <v>13177</v>
      </c>
      <c r="H175" s="183" t="s">
        <v>15968</v>
      </c>
      <c r="I175" s="184" t="s">
        <v>1506</v>
      </c>
      <c r="J175" s="184" t="s">
        <v>1507</v>
      </c>
      <c r="K175" s="224"/>
      <c r="L175" s="224"/>
      <c r="M175" s="224"/>
      <c r="N175" s="224" t="s">
        <v>15876</v>
      </c>
      <c r="O175" s="224" t="s">
        <v>16194</v>
      </c>
      <c r="P175" s="185"/>
      <c r="Q175" s="225" t="s">
        <v>15840</v>
      </c>
      <c r="R175" s="182" t="str">
        <f ca="1">IF(ISERROR($V175),"",OFFSET('Smelter Look-up'!$C$4,$V175-4,0)&amp;"")</f>
        <v>Advanced Chemical Company</v>
      </c>
      <c r="S175" s="181" t="str">
        <f t="shared" ca="1" si="23"/>
        <v>US</v>
      </c>
      <c r="T175" s="181" t="str">
        <f ca="1">IF(B175="","",IF(ISERROR(MATCH($J175,SorP!$B$1:$B$6226,0)),"",INDIRECT("'SorP'!$A$"&amp;MATCH($S175&amp;$J175,SorP!C:C,0))))</f>
        <v>US-RI</v>
      </c>
      <c r="U175" s="201"/>
      <c r="V175" s="226">
        <f>IF(C175="",NA(),IF(OR(C175="Smelter not listed",C175="Smelter not yet identified"),MATCH($B175&amp;$D175,'Smelter Look-up'!$J:$J,0),MATCH($B175&amp;$C175,'Smelter Look-up'!$J:$J,0)))</f>
        <v>8</v>
      </c>
      <c r="X175" s="227">
        <f t="shared" si="24"/>
        <v>0</v>
      </c>
      <c r="AB175" s="228" t="str">
        <f t="shared" si="25"/>
        <v>GoldAdvanced Chemical Company</v>
      </c>
    </row>
    <row r="176" spans="1:28" s="227" customFormat="1" ht="27">
      <c r="A176" s="181"/>
      <c r="B176" s="182" t="s">
        <v>1100</v>
      </c>
      <c r="C176" s="186" t="s">
        <v>15302</v>
      </c>
      <c r="D176" s="230" t="s">
        <v>15302</v>
      </c>
      <c r="E176" s="182" t="s">
        <v>1069</v>
      </c>
      <c r="F176" s="182" t="s">
        <v>14952</v>
      </c>
      <c r="G176" s="182" t="s">
        <v>13177</v>
      </c>
      <c r="H176" s="183" t="s">
        <v>16195</v>
      </c>
      <c r="I176" s="184" t="s">
        <v>16196</v>
      </c>
      <c r="J176" s="184" t="s">
        <v>13544</v>
      </c>
      <c r="K176" s="224"/>
      <c r="L176" s="224"/>
      <c r="M176" s="224"/>
      <c r="N176" s="224" t="s">
        <v>12533</v>
      </c>
      <c r="O176" s="224" t="s">
        <v>15919</v>
      </c>
      <c r="P176" s="185"/>
      <c r="Q176" s="225" t="s">
        <v>15840</v>
      </c>
      <c r="R176" s="182" t="str">
        <f ca="1">IF(ISERROR($V176),"",OFFSET('Smelter Look-up'!$C$4,$V176-4,0)&amp;"")</f>
        <v>RFH Yancheng Jinye New Material Technology Co., Ltd.</v>
      </c>
      <c r="S176" s="181" t="str">
        <f t="shared" ca="1" si="23"/>
        <v>CN</v>
      </c>
      <c r="T176" s="181" t="str">
        <f ca="1">IF(B176="","",IF(ISERROR(MATCH($J176,SorP!$B$1:$B$6226,0)),"",INDIRECT("'SorP'!$A$"&amp;MATCH($S176&amp;$J176,SorP!C:C,0))))</f>
        <v>CN-JS</v>
      </c>
      <c r="U176" s="201"/>
      <c r="V176" s="226">
        <f>IF(C176="",NA(),IF(OR(C176="Smelter not listed",C176="Smelter not yet identified"),MATCH($B176&amp;$D176,'Smelter Look-up'!$J:$J,0),MATCH($B176&amp;$C176,'Smelter Look-up'!$J:$J,0)))</f>
        <v>378</v>
      </c>
      <c r="X176" s="227">
        <f t="shared" si="24"/>
        <v>0</v>
      </c>
      <c r="AB176" s="228" t="str">
        <f t="shared" si="25"/>
        <v>TantalumRFH Yancheng Jinye New Material Technology Co., Ltd.</v>
      </c>
    </row>
    <row r="177" spans="1:28" s="227" customFormat="1" ht="81">
      <c r="A177" s="181"/>
      <c r="B177" s="182" t="s">
        <v>1100</v>
      </c>
      <c r="C177" s="186" t="s">
        <v>2221</v>
      </c>
      <c r="D177" s="230" t="s">
        <v>2221</v>
      </c>
      <c r="E177" s="182" t="s">
        <v>1069</v>
      </c>
      <c r="F177" s="182" t="s">
        <v>2222</v>
      </c>
      <c r="G177" s="182" t="s">
        <v>13177</v>
      </c>
      <c r="H177" s="183" t="s">
        <v>16197</v>
      </c>
      <c r="I177" s="184" t="s">
        <v>16198</v>
      </c>
      <c r="J177" s="184" t="s">
        <v>13531</v>
      </c>
      <c r="K177" s="224"/>
      <c r="L177" s="224"/>
      <c r="M177" s="224"/>
      <c r="N177" s="224" t="s">
        <v>16199</v>
      </c>
      <c r="O177" s="224" t="s">
        <v>16200</v>
      </c>
      <c r="P177" s="185"/>
      <c r="Q177" s="225" t="s">
        <v>15840</v>
      </c>
      <c r="R177" s="182" t="str">
        <f ca="1">IF(ISERROR($V177),"",OFFSET('Smelter Look-up'!$C$4,$V177-4,0)&amp;"")</f>
        <v>Jiangxi Tuohong New Raw Material</v>
      </c>
      <c r="S177" s="181" t="str">
        <f t="shared" ca="1" si="23"/>
        <v>CN</v>
      </c>
      <c r="T177" s="181" t="str">
        <f ca="1">IF(B177="","",IF(ISERROR(MATCH($J177,SorP!$B$1:$B$6226,0)),"",INDIRECT("'SorP'!$A$"&amp;MATCH($S177&amp;$J177,SorP!C:C,0))))</f>
        <v>CN-JX</v>
      </c>
      <c r="U177" s="201"/>
      <c r="V177" s="226">
        <f>IF(C177="",NA(),IF(OR(C177="Smelter not listed",C177="Smelter not yet identified"),MATCH($B177&amp;$D177,'Smelter Look-up'!$J:$J,0),MATCH($B177&amp;$C177,'Smelter Look-up'!$J:$J,0)))</f>
        <v>352</v>
      </c>
      <c r="X177" s="227">
        <f t="shared" si="24"/>
        <v>0</v>
      </c>
      <c r="AB177" s="228" t="str">
        <f t="shared" si="25"/>
        <v>TantalumJiangxi Tuohong New Raw Material</v>
      </c>
    </row>
    <row r="178" spans="1:28" s="227" customFormat="1" ht="27">
      <c r="A178" s="181"/>
      <c r="B178" s="182" t="s">
        <v>1100</v>
      </c>
      <c r="C178" s="186" t="s">
        <v>12381</v>
      </c>
      <c r="D178" s="230" t="s">
        <v>12381</v>
      </c>
      <c r="E178" s="182" t="s">
        <v>1065</v>
      </c>
      <c r="F178" s="182" t="s">
        <v>1716</v>
      </c>
      <c r="G178" s="182" t="s">
        <v>13177</v>
      </c>
      <c r="H178" s="183" t="s">
        <v>16201</v>
      </c>
      <c r="I178" s="184" t="s">
        <v>16202</v>
      </c>
      <c r="J178" s="184" t="s">
        <v>1717</v>
      </c>
      <c r="K178" s="224"/>
      <c r="L178" s="224"/>
      <c r="M178" s="224"/>
      <c r="N178" s="224" t="s">
        <v>12533</v>
      </c>
      <c r="O178" s="224" t="s">
        <v>16203</v>
      </c>
      <c r="P178" s="185"/>
      <c r="Q178" s="225" t="s">
        <v>15840</v>
      </c>
      <c r="R178" s="182" t="str">
        <f ca="1">IF(ISERROR($V178),"",OFFSET('Smelter Look-up'!$C$4,$V178-4,0)&amp;"")</f>
        <v>Resind Industria e Comercio Ltda.</v>
      </c>
      <c r="S178" s="181" t="str">
        <f t="shared" ca="1" si="23"/>
        <v>BR</v>
      </c>
      <c r="T178" s="181" t="str">
        <f ca="1">IF(B178="","",IF(ISERROR(MATCH($J178,SorP!$B$1:$B$6226,0)),"",INDIRECT("'SorP'!$A$"&amp;MATCH($S178&amp;$J178,SorP!C:C,0))))</f>
        <v>BR-MG</v>
      </c>
      <c r="U178" s="201"/>
      <c r="V178" s="226">
        <f>IF(C178="",NA(),IF(OR(C178="Smelter not listed",C178="Smelter not yet identified"),MATCH($B178&amp;$D178,'Smelter Look-up'!$J:$J,0),MATCH($B178&amp;$C178,'Smelter Look-up'!$J:$J,0)))</f>
        <v>374</v>
      </c>
      <c r="X178" s="227">
        <f t="shared" si="24"/>
        <v>0</v>
      </c>
      <c r="AB178" s="228" t="str">
        <f t="shared" si="25"/>
        <v>TantalumResind Industria e Comercio Ltda.</v>
      </c>
    </row>
    <row r="179" spans="1:28" s="227" customFormat="1" ht="216">
      <c r="A179" s="181"/>
      <c r="B179" s="182" t="s">
        <v>1100</v>
      </c>
      <c r="C179" s="186" t="s">
        <v>1375</v>
      </c>
      <c r="D179" s="230" t="s">
        <v>1375</v>
      </c>
      <c r="E179" s="182" t="s">
        <v>1077</v>
      </c>
      <c r="F179" s="182" t="s">
        <v>1376</v>
      </c>
      <c r="G179" s="182" t="s">
        <v>13177</v>
      </c>
      <c r="H179" s="183" t="s">
        <v>16204</v>
      </c>
      <c r="I179" s="184" t="s">
        <v>1714</v>
      </c>
      <c r="J179" s="184" t="s">
        <v>1521</v>
      </c>
      <c r="K179" s="224"/>
      <c r="L179" s="224"/>
      <c r="M179" s="224"/>
      <c r="N179" s="224" t="s">
        <v>16205</v>
      </c>
      <c r="O179" s="224" t="s">
        <v>16206</v>
      </c>
      <c r="P179" s="185"/>
      <c r="Q179" s="225" t="s">
        <v>15840</v>
      </c>
      <c r="R179" s="182" t="str">
        <f ca="1">IF(ISERROR($V179),"",OFFSET('Smelter Look-up'!$C$4,$V179-4,0)&amp;"")</f>
        <v>Global Advanced Metals Aizu</v>
      </c>
      <c r="S179" s="181" t="str">
        <f t="shared" ca="1" si="23"/>
        <v>JP</v>
      </c>
      <c r="T179" s="181" t="str">
        <f ca="1">IF(B179="","",IF(ISERROR(MATCH($J179,SorP!$B$1:$B$6226,0)),"",INDIRECT("'SorP'!$A$"&amp;MATCH($S179&amp;$J179,SorP!C:C,0))))</f>
        <v>JP-07</v>
      </c>
      <c r="U179" s="201"/>
      <c r="V179" s="226">
        <f>IF(C179="",NA(),IF(OR(C179="Smelter not listed",C179="Smelter not yet identified"),MATCH($B179&amp;$D179,'Smelter Look-up'!$J:$J,0),MATCH($B179&amp;$C179,'Smelter Look-up'!$J:$J,0)))</f>
        <v>339</v>
      </c>
      <c r="X179" s="227">
        <f t="shared" si="24"/>
        <v>0</v>
      </c>
      <c r="AB179" s="228" t="str">
        <f t="shared" si="25"/>
        <v>TantalumGlobal Advanced Metals Aizu</v>
      </c>
    </row>
    <row r="180" spans="1:28" s="227" customFormat="1" ht="229.5">
      <c r="A180" s="181"/>
      <c r="B180" s="182" t="s">
        <v>1100</v>
      </c>
      <c r="C180" s="186" t="s">
        <v>1377</v>
      </c>
      <c r="D180" s="230" t="s">
        <v>1377</v>
      </c>
      <c r="E180" s="182" t="s">
        <v>2384</v>
      </c>
      <c r="F180" s="182" t="s">
        <v>1378</v>
      </c>
      <c r="G180" s="182" t="s">
        <v>13177</v>
      </c>
      <c r="H180" s="183" t="s">
        <v>16207</v>
      </c>
      <c r="I180" s="184" t="s">
        <v>1713</v>
      </c>
      <c r="J180" s="184" t="s">
        <v>1699</v>
      </c>
      <c r="K180" s="224"/>
      <c r="L180" s="224"/>
      <c r="M180" s="224"/>
      <c r="N180" s="224" t="s">
        <v>16208</v>
      </c>
      <c r="O180" s="224" t="s">
        <v>16209</v>
      </c>
      <c r="P180" s="185"/>
      <c r="Q180" s="225" t="s">
        <v>15840</v>
      </c>
      <c r="R180" s="182" t="str">
        <f ca="1">IF(ISERROR($V180),"",OFFSET('Smelter Look-up'!$C$4,$V180-4,0)&amp;"")</f>
        <v>Global Advanced Metals Boyertown</v>
      </c>
      <c r="S180" s="181" t="str">
        <f t="shared" ca="1" si="23"/>
        <v>US</v>
      </c>
      <c r="T180" s="181" t="str">
        <f ca="1">IF(B180="","",IF(ISERROR(MATCH($J180,SorP!$B$1:$B$6226,0)),"",INDIRECT("'SorP'!$A$"&amp;MATCH($S180&amp;$J180,SorP!C:C,0))))</f>
        <v>US-PA</v>
      </c>
      <c r="U180" s="201"/>
      <c r="V180" s="226">
        <f>IF(C180="",NA(),IF(OR(C180="Smelter not listed",C180="Smelter not yet identified"),MATCH($B180&amp;$D180,'Smelter Look-up'!$J:$J,0),MATCH($B180&amp;$C180,'Smelter Look-up'!$J:$J,0)))</f>
        <v>340</v>
      </c>
      <c r="X180" s="227">
        <f t="shared" si="24"/>
        <v>0</v>
      </c>
      <c r="AB180" s="228" t="str">
        <f t="shared" si="25"/>
        <v>TantalumGlobal Advanced Metals Boyertown</v>
      </c>
    </row>
    <row r="181" spans="1:28" s="227" customFormat="1" ht="202.5">
      <c r="A181" s="181"/>
      <c r="B181" s="182" t="s">
        <v>1100</v>
      </c>
      <c r="C181" s="186" t="s">
        <v>14948</v>
      </c>
      <c r="D181" s="230" t="s">
        <v>14948</v>
      </c>
      <c r="E181" s="182" t="s">
        <v>1070</v>
      </c>
      <c r="F181" s="182" t="s">
        <v>1386</v>
      </c>
      <c r="G181" s="182" t="s">
        <v>13177</v>
      </c>
      <c r="H181" s="183" t="s">
        <v>16210</v>
      </c>
      <c r="I181" s="184" t="s">
        <v>1710</v>
      </c>
      <c r="J181" s="184" t="s">
        <v>1511</v>
      </c>
      <c r="K181" s="224"/>
      <c r="L181" s="224"/>
      <c r="M181" s="224"/>
      <c r="N181" s="224" t="s">
        <v>16211</v>
      </c>
      <c r="O181" s="224" t="s">
        <v>16212</v>
      </c>
      <c r="P181" s="185"/>
      <c r="Q181" s="225" t="s">
        <v>15840</v>
      </c>
      <c r="R181" s="182" t="str">
        <f ca="1">IF(ISERROR($V181),"",OFFSET('Smelter Look-up'!$C$4,$V181-4,0)&amp;"")</f>
        <v>TANIOBIS Smelting GmbH &amp; Co. KG</v>
      </c>
      <c r="S181" s="181" t="str">
        <f t="shared" ca="1" si="23"/>
        <v>DE</v>
      </c>
      <c r="T181" s="181" t="str">
        <f ca="1">IF(B181="","",IF(ISERROR(MATCH($J181,SorP!$B$1:$B$6226,0)),"",INDIRECT("'SorP'!$A$"&amp;MATCH($S181&amp;$J181,SorP!C:C,0))))</f>
        <v>DE-BW</v>
      </c>
      <c r="U181" s="201"/>
      <c r="V181" s="226">
        <f>IF(C181="",NA(),IF(OR(C181="Smelter not listed",C181="Smelter not yet identified"),MATCH($B181&amp;$D181,'Smelter Look-up'!$J:$J,0),MATCH($B181&amp;$C181,'Smelter Look-up'!$J:$J,0)))</f>
        <v>387</v>
      </c>
      <c r="X181" s="227">
        <f t="shared" si="24"/>
        <v>0</v>
      </c>
      <c r="AB181" s="228" t="str">
        <f t="shared" si="25"/>
        <v>TantalumTANIOBIS Smelting GmbH &amp; Co. KG</v>
      </c>
    </row>
    <row r="182" spans="1:28" s="227" customFormat="1" ht="189">
      <c r="A182" s="181"/>
      <c r="B182" s="182" t="s">
        <v>1100</v>
      </c>
      <c r="C182" s="186" t="s">
        <v>14947</v>
      </c>
      <c r="D182" s="230" t="s">
        <v>14947</v>
      </c>
      <c r="E182" s="182" t="s">
        <v>1077</v>
      </c>
      <c r="F182" s="182" t="s">
        <v>1385</v>
      </c>
      <c r="G182" s="182" t="s">
        <v>13177</v>
      </c>
      <c r="H182" s="183" t="s">
        <v>16213</v>
      </c>
      <c r="I182" s="184" t="s">
        <v>16214</v>
      </c>
      <c r="J182" s="184" t="s">
        <v>1712</v>
      </c>
      <c r="K182" s="224"/>
      <c r="L182" s="224"/>
      <c r="M182" s="224"/>
      <c r="N182" s="224" t="s">
        <v>15876</v>
      </c>
      <c r="O182" s="224" t="s">
        <v>16215</v>
      </c>
      <c r="P182" s="185"/>
      <c r="Q182" s="225" t="s">
        <v>15840</v>
      </c>
      <c r="R182" s="182" t="str">
        <f ca="1">IF(ISERROR($V182),"",OFFSET('Smelter Look-up'!$C$4,$V182-4,0)&amp;"")</f>
        <v>TANIOBIS Japan Co., Ltd.</v>
      </c>
      <c r="S182" s="181" t="str">
        <f t="shared" ca="1" si="23"/>
        <v>JP</v>
      </c>
      <c r="T182" s="181" t="str">
        <f ca="1">IF(B182="","",IF(ISERROR(MATCH($J182,SorP!$B$1:$B$6226,0)),"",INDIRECT("'SorP'!$A$"&amp;MATCH($S182&amp;$J182,SorP!C:C,0))))</f>
        <v>JP-08</v>
      </c>
      <c r="U182" s="201"/>
      <c r="V182" s="226">
        <f>IF(C182="",NA(),IF(OR(C182="Smelter not listed",C182="Smelter not yet identified"),MATCH($B182&amp;$D182,'Smelter Look-up'!$J:$J,0),MATCH($B182&amp;$C182,'Smelter Look-up'!$J:$J,0)))</f>
        <v>386</v>
      </c>
      <c r="X182" s="227">
        <f t="shared" si="24"/>
        <v>0</v>
      </c>
      <c r="AB182" s="228" t="str">
        <f t="shared" si="25"/>
        <v>TantalumTANIOBIS Japan Co., Ltd.</v>
      </c>
    </row>
    <row r="183" spans="1:28" s="227" customFormat="1" ht="216">
      <c r="A183" s="181"/>
      <c r="B183" s="182" t="s">
        <v>1100</v>
      </c>
      <c r="C183" s="186" t="s">
        <v>1382</v>
      </c>
      <c r="D183" s="230" t="s">
        <v>1382</v>
      </c>
      <c r="E183" s="182" t="s">
        <v>2384</v>
      </c>
      <c r="F183" s="182" t="s">
        <v>1383</v>
      </c>
      <c r="G183" s="182" t="s">
        <v>13177</v>
      </c>
      <c r="H183" s="183" t="s">
        <v>16216</v>
      </c>
      <c r="I183" s="184" t="s">
        <v>1711</v>
      </c>
      <c r="J183" s="184" t="s">
        <v>1591</v>
      </c>
      <c r="K183" s="224"/>
      <c r="L183" s="224"/>
      <c r="M183" s="224"/>
      <c r="N183" s="224" t="s">
        <v>15876</v>
      </c>
      <c r="O183" s="224" t="s">
        <v>16217</v>
      </c>
      <c r="P183" s="185"/>
      <c r="Q183" s="225" t="s">
        <v>15840</v>
      </c>
      <c r="R183" s="182" t="str">
        <f ca="1">IF(ISERROR($V183),"",OFFSET('Smelter Look-up'!$C$4,$V183-4,0)&amp;"")</f>
        <v>Materion Newton Inc.</v>
      </c>
      <c r="S183" s="181" t="str">
        <f t="shared" ca="1" si="23"/>
        <v>US</v>
      </c>
      <c r="T183" s="181" t="str">
        <f ca="1">IF(B183="","",IF(ISERROR(MATCH($J183,SorP!$B$1:$B$6226,0)),"",INDIRECT("'SorP'!$A$"&amp;MATCH($S183&amp;$J183,SorP!C:C,0))))</f>
        <v>US-MA</v>
      </c>
      <c r="U183" s="201"/>
      <c r="V183" s="226">
        <f>IF(C183="",NA(),IF(OR(C183="Smelter not listed",C183="Smelter not yet identified"),MATCH($B183&amp;$D183,'Smelter Look-up'!$J:$J,0),MATCH($B183&amp;$C183,'Smelter Look-up'!$J:$J,0)))</f>
        <v>344</v>
      </c>
      <c r="X183" s="227">
        <f t="shared" si="24"/>
        <v>0</v>
      </c>
      <c r="AB183" s="228" t="str">
        <f t="shared" si="25"/>
        <v>TantalumH.C. Starck Inc.</v>
      </c>
    </row>
    <row r="184" spans="1:28" s="227" customFormat="1" ht="243">
      <c r="A184" s="181"/>
      <c r="B184" s="182" t="s">
        <v>1100</v>
      </c>
      <c r="C184" s="186" t="s">
        <v>16218</v>
      </c>
      <c r="D184" s="230" t="s">
        <v>16218</v>
      </c>
      <c r="E184" s="182" t="s">
        <v>1070</v>
      </c>
      <c r="F184" s="182" t="s">
        <v>16219</v>
      </c>
      <c r="G184" s="182" t="s">
        <v>13177</v>
      </c>
      <c r="H184" s="183" t="s">
        <v>16220</v>
      </c>
      <c r="I184" s="184" t="s">
        <v>16221</v>
      </c>
      <c r="J184" s="184" t="s">
        <v>4175</v>
      </c>
      <c r="K184" s="224"/>
      <c r="L184" s="224"/>
      <c r="M184" s="224"/>
      <c r="N184" s="224" t="s">
        <v>15876</v>
      </c>
      <c r="O184" s="224" t="s">
        <v>16222</v>
      </c>
      <c r="P184" s="185"/>
      <c r="Q184" s="225" t="s">
        <v>15840</v>
      </c>
      <c r="R184" s="182" t="str">
        <f ca="1">IF(ISERROR($V184),"",OFFSET('Smelter Look-up'!$C$4,$V184-4,0)&amp;"")</f>
        <v/>
      </c>
      <c r="S184" s="181" t="str">
        <f t="shared" ca="1" si="23"/>
        <v>DE</v>
      </c>
      <c r="T184" s="181" t="str">
        <f ca="1">IF(B184="","",IF(ISERROR(MATCH($J184,SorP!$B$1:$B$6226,0)),"",INDIRECT("'SorP'!$A$"&amp;MATCH($S184&amp;$J184,SorP!C:C,0))))</f>
        <v>DE-TH</v>
      </c>
      <c r="U184" s="201"/>
      <c r="V184" s="226" t="e">
        <f>IF(C184="",NA(),IF(OR(C184="Smelter not listed",C184="Smelter not yet identified"),MATCH($B184&amp;$D184,'Smelter Look-up'!$J:$J,0),MATCH($B184&amp;$C184,'Smelter Look-up'!$J:$J,0)))</f>
        <v>#N/A</v>
      </c>
      <c r="X184" s="227">
        <f t="shared" si="24"/>
        <v>0</v>
      </c>
      <c r="AB184" s="228" t="str">
        <f t="shared" si="25"/>
        <v>TantalumH.C. Starck Hermsdorf GmbH</v>
      </c>
    </row>
    <row r="185" spans="1:28" s="227" customFormat="1" ht="243">
      <c r="A185" s="181"/>
      <c r="B185" s="182" t="s">
        <v>1100</v>
      </c>
      <c r="C185" s="186" t="s">
        <v>14949</v>
      </c>
      <c r="D185" s="230" t="s">
        <v>14949</v>
      </c>
      <c r="E185" s="182" t="s">
        <v>1070</v>
      </c>
      <c r="F185" s="182" t="s">
        <v>1381</v>
      </c>
      <c r="G185" s="182" t="s">
        <v>13177</v>
      </c>
      <c r="H185" s="183" t="s">
        <v>16223</v>
      </c>
      <c r="I185" s="184" t="s">
        <v>1709</v>
      </c>
      <c r="J185" s="184" t="s">
        <v>4197</v>
      </c>
      <c r="K185" s="224"/>
      <c r="L185" s="224"/>
      <c r="M185" s="224"/>
      <c r="N185" s="224" t="s">
        <v>16211</v>
      </c>
      <c r="O185" s="224" t="s">
        <v>16224</v>
      </c>
      <c r="P185" s="185"/>
      <c r="Q185" s="225" t="s">
        <v>15840</v>
      </c>
      <c r="R185" s="182" t="str">
        <f ca="1">IF(ISERROR($V185),"",OFFSET('Smelter Look-up'!$C$4,$V185-4,0)&amp;"")</f>
        <v>TANIOBIS GmbH</v>
      </c>
      <c r="S185" s="181" t="str">
        <f t="shared" ca="1" si="23"/>
        <v>DE</v>
      </c>
      <c r="T185" s="181" t="str">
        <f ca="1">IF(B185="","",IF(ISERROR(MATCH($J185,SorP!$B$1:$B$6226,0)),"",INDIRECT("'SorP'!$A$"&amp;MATCH($S185&amp;$J185,SorP!C:C,0))))</f>
        <v>DE-NI</v>
      </c>
      <c r="U185" s="201"/>
      <c r="V185" s="226">
        <f>IF(C185="",NA(),IF(OR(C185="Smelter not listed",C185="Smelter not yet identified"),MATCH($B185&amp;$D185,'Smelter Look-up'!$J:$J,0),MATCH($B185&amp;$C185,'Smelter Look-up'!$J:$J,0)))</f>
        <v>385</v>
      </c>
      <c r="X185" s="227">
        <f t="shared" si="24"/>
        <v>0</v>
      </c>
      <c r="AB185" s="228" t="str">
        <f t="shared" si="25"/>
        <v>TantalumTANIOBIS GmbH</v>
      </c>
    </row>
    <row r="186" spans="1:28" s="227" customFormat="1" ht="229.5">
      <c r="A186" s="181"/>
      <c r="B186" s="182" t="s">
        <v>1100</v>
      </c>
      <c r="C186" s="186" t="s">
        <v>14946</v>
      </c>
      <c r="D186" s="230" t="s">
        <v>14946</v>
      </c>
      <c r="E186" s="182" t="s">
        <v>859</v>
      </c>
      <c r="F186" s="182" t="s">
        <v>1380</v>
      </c>
      <c r="G186" s="182" t="s">
        <v>13177</v>
      </c>
      <c r="H186" s="183" t="s">
        <v>16225</v>
      </c>
      <c r="I186" s="184" t="s">
        <v>1707</v>
      </c>
      <c r="J186" s="184" t="s">
        <v>1708</v>
      </c>
      <c r="K186" s="224"/>
      <c r="L186" s="224"/>
      <c r="M186" s="224"/>
      <c r="N186" s="224" t="s">
        <v>16226</v>
      </c>
      <c r="O186" s="224" t="s">
        <v>16227</v>
      </c>
      <c r="P186" s="185"/>
      <c r="Q186" s="225" t="s">
        <v>15840</v>
      </c>
      <c r="R186" s="182" t="str">
        <f ca="1">IF(ISERROR($V186),"",OFFSET('Smelter Look-up'!$C$4,$V186-4,0)&amp;"")</f>
        <v>TANIOBIS Co., Ltd.</v>
      </c>
      <c r="S186" s="181" t="str">
        <f t="shared" ca="1" si="23"/>
        <v>TH</v>
      </c>
      <c r="T186" s="181" t="str">
        <f ca="1">IF(B186="","",IF(ISERROR(MATCH($J186,SorP!$B$1:$B$6226,0)),"",INDIRECT("'SorP'!$A$"&amp;MATCH($S186&amp;$J186,SorP!C:C,0))))</f>
        <v>TH-21</v>
      </c>
      <c r="U186" s="201"/>
      <c r="V186" s="226">
        <f>IF(C186="",NA(),IF(OR(C186="Smelter not listed",C186="Smelter not yet identified"),MATCH($B186&amp;$D186,'Smelter Look-up'!$J:$J,0),MATCH($B186&amp;$C186,'Smelter Look-up'!$J:$J,0)))</f>
        <v>384</v>
      </c>
      <c r="X186" s="227">
        <f t="shared" si="24"/>
        <v>0</v>
      </c>
      <c r="AB186" s="228" t="str">
        <f t="shared" si="25"/>
        <v>TantalumTANIOBIS Co., Ltd.</v>
      </c>
    </row>
    <row r="187" spans="1:28" s="227" customFormat="1" ht="243">
      <c r="A187" s="181"/>
      <c r="B187" s="182" t="s">
        <v>1100</v>
      </c>
      <c r="C187" s="186" t="s">
        <v>14950</v>
      </c>
      <c r="D187" s="230" t="s">
        <v>14950</v>
      </c>
      <c r="E187" s="182" t="s">
        <v>1082</v>
      </c>
      <c r="F187" s="182" t="s">
        <v>1388</v>
      </c>
      <c r="G187" s="182" t="s">
        <v>13177</v>
      </c>
      <c r="H187" s="183" t="s">
        <v>16228</v>
      </c>
      <c r="I187" s="184" t="s">
        <v>1705</v>
      </c>
      <c r="J187" s="184" t="s">
        <v>1706</v>
      </c>
      <c r="K187" s="224"/>
      <c r="L187" s="224"/>
      <c r="M187" s="224"/>
      <c r="N187" s="224" t="s">
        <v>15876</v>
      </c>
      <c r="O187" s="224" t="s">
        <v>16229</v>
      </c>
      <c r="P187" s="185"/>
      <c r="Q187" s="225" t="s">
        <v>15840</v>
      </c>
      <c r="R187" s="182" t="str">
        <f ca="1">IF(ISERROR($V187),"",OFFSET('Smelter Look-up'!$C$4,$V187-4,0)&amp;"")</f>
        <v>KEMET de Mexico</v>
      </c>
      <c r="S187" s="181" t="str">
        <f t="shared" ca="1" si="23"/>
        <v>MX</v>
      </c>
      <c r="T187" s="181" t="str">
        <f ca="1">IF(B187="","",IF(ISERROR(MATCH($J187,SorP!$B$1:$B$6226,0)),"",INDIRECT("'SorP'!$A$"&amp;MATCH($S187&amp;$J187,SorP!C:C,0))))</f>
        <v>MX-TAM</v>
      </c>
      <c r="U187" s="201"/>
      <c r="V187" s="226">
        <f>IF(C187="",NA(),IF(OR(C187="Smelter not listed",C187="Smelter not yet identified"),MATCH($B187&amp;$D187,'Smelter Look-up'!$J:$J,0),MATCH($B187&amp;$C187,'Smelter Look-up'!$J:$J,0)))</f>
        <v>358</v>
      </c>
      <c r="X187" s="227">
        <f t="shared" si="24"/>
        <v>0</v>
      </c>
      <c r="AB187" s="228" t="str">
        <f t="shared" si="25"/>
        <v>TantalumKEMET de Mexico</v>
      </c>
    </row>
    <row r="188" spans="1:28" s="227" customFormat="1" ht="67.5">
      <c r="A188" s="181"/>
      <c r="B188" s="182" t="s">
        <v>1100</v>
      </c>
      <c r="C188" s="186" t="s">
        <v>2125</v>
      </c>
      <c r="D188" s="230" t="s">
        <v>2125</v>
      </c>
      <c r="E188" s="182" t="s">
        <v>1069</v>
      </c>
      <c r="F188" s="182" t="s">
        <v>1363</v>
      </c>
      <c r="G188" s="182" t="s">
        <v>13177</v>
      </c>
      <c r="H188" s="183" t="s">
        <v>16230</v>
      </c>
      <c r="I188" s="184" t="s">
        <v>1704</v>
      </c>
      <c r="J188" s="184" t="s">
        <v>13531</v>
      </c>
      <c r="K188" s="224"/>
      <c r="L188" s="224"/>
      <c r="M188" s="224"/>
      <c r="N188" s="224" t="s">
        <v>12533</v>
      </c>
      <c r="O188" s="224" t="s">
        <v>16231</v>
      </c>
      <c r="P188" s="185"/>
      <c r="Q188" s="225" t="s">
        <v>15840</v>
      </c>
      <c r="R188" s="182" t="str">
        <f ca="1">IF(ISERROR($V188),"",OFFSET('Smelter Look-up'!$C$4,$V188-4,0)&amp;"")</f>
        <v>Jiangxi Dinghai Tantalum &amp; Niobium Co., Ltd.</v>
      </c>
      <c r="S188" s="181" t="str">
        <f t="shared" ca="1" si="23"/>
        <v>CN</v>
      </c>
      <c r="T188" s="181" t="str">
        <f ca="1">IF(B188="","",IF(ISERROR(MATCH($J188,SorP!$B$1:$B$6226,0)),"",INDIRECT("'SorP'!$A$"&amp;MATCH($S188&amp;$J188,SorP!C:C,0))))</f>
        <v>CN-JX</v>
      </c>
      <c r="U188" s="201"/>
      <c r="V188" s="226">
        <f>IF(C188="",NA(),IF(OR(C188="Smelter not listed",C188="Smelter not yet identified"),MATCH($B188&amp;$D188,'Smelter Look-up'!$J:$J,0),MATCH($B188&amp;$C188,'Smelter Look-up'!$J:$J,0)))</f>
        <v>349</v>
      </c>
      <c r="X188" s="227">
        <f t="shared" si="24"/>
        <v>0</v>
      </c>
      <c r="AB188" s="228" t="str">
        <f t="shared" si="25"/>
        <v>TantalumJiangxi Dinghai Tantalum &amp; Niobium Co., Ltd.</v>
      </c>
    </row>
    <row r="189" spans="1:28" s="227" customFormat="1" ht="67.5">
      <c r="A189" s="181"/>
      <c r="B189" s="182" t="s">
        <v>1100</v>
      </c>
      <c r="C189" s="186" t="s">
        <v>16232</v>
      </c>
      <c r="D189" s="230" t="s">
        <v>16232</v>
      </c>
      <c r="E189" s="182" t="s">
        <v>1069</v>
      </c>
      <c r="F189" s="182" t="s">
        <v>16233</v>
      </c>
      <c r="G189" s="182" t="s">
        <v>13177</v>
      </c>
      <c r="H189" s="183" t="s">
        <v>16234</v>
      </c>
      <c r="I189" s="184" t="s">
        <v>16235</v>
      </c>
      <c r="J189" s="184" t="s">
        <v>13536</v>
      </c>
      <c r="K189" s="224"/>
      <c r="L189" s="224"/>
      <c r="M189" s="224"/>
      <c r="N189" s="224" t="s">
        <v>12533</v>
      </c>
      <c r="O189" s="224" t="s">
        <v>16236</v>
      </c>
      <c r="P189" s="185"/>
      <c r="Q189" s="225" t="s">
        <v>15840</v>
      </c>
      <c r="R189" s="182" t="str">
        <f ca="1">IF(ISERROR($V189),"",OFFSET('Smelter Look-up'!$C$4,$V189-4,0)&amp;"")</f>
        <v/>
      </c>
      <c r="S189" s="181" t="str">
        <f t="shared" ca="1" si="23"/>
        <v>CN</v>
      </c>
      <c r="T189" s="181" t="str">
        <f ca="1">IF(B189="","",IF(ISERROR(MATCH($J189,SorP!$B$1:$B$6226,0)),"",INDIRECT("'SorP'!$A$"&amp;MATCH($S189&amp;$J189,SorP!C:C,0))))</f>
        <v>CN-GD</v>
      </c>
      <c r="U189" s="201"/>
      <c r="V189" s="226" t="e">
        <f>IF(C189="",NA(),IF(OR(C189="Smelter not listed",C189="Smelter not yet identified"),MATCH($B189&amp;$D189,'Smelter Look-up'!$J:$J,0),MATCH($B189&amp;$C189,'Smelter Look-up'!$J:$J,0)))</f>
        <v>#N/A</v>
      </c>
      <c r="X189" s="227">
        <f t="shared" si="24"/>
        <v>0</v>
      </c>
      <c r="AB189" s="228" t="str">
        <f t="shared" si="25"/>
        <v>TantalumXinXing HaoRong Electronic Material Co., Ltd.</v>
      </c>
    </row>
    <row r="190" spans="1:28" s="227" customFormat="1" ht="216">
      <c r="A190" s="181"/>
      <c r="B190" s="182" t="s">
        <v>1100</v>
      </c>
      <c r="C190" s="186" t="s">
        <v>2123</v>
      </c>
      <c r="D190" s="230" t="s">
        <v>2123</v>
      </c>
      <c r="E190" s="182" t="s">
        <v>1069</v>
      </c>
      <c r="F190" s="182" t="s">
        <v>1364</v>
      </c>
      <c r="G190" s="182" t="s">
        <v>13177</v>
      </c>
      <c r="H190" s="183" t="s">
        <v>16237</v>
      </c>
      <c r="I190" s="184" t="s">
        <v>1682</v>
      </c>
      <c r="J190" s="184" t="s">
        <v>13531</v>
      </c>
      <c r="K190" s="224"/>
      <c r="L190" s="224"/>
      <c r="M190" s="224"/>
      <c r="N190" s="224" t="s">
        <v>12533</v>
      </c>
      <c r="O190" s="224" t="s">
        <v>16238</v>
      </c>
      <c r="P190" s="185"/>
      <c r="Q190" s="225" t="s">
        <v>15840</v>
      </c>
      <c r="R190" s="182" t="str">
        <f ca="1">IF(ISERROR($V190),"",OFFSET('Smelter Look-up'!$C$4,$V190-4,0)&amp;"")</f>
        <v>Jiujiang Zhongao Tantalum &amp; Niobium Co., Ltd.</v>
      </c>
      <c r="S190" s="181" t="str">
        <f t="shared" ca="1" si="23"/>
        <v>CN</v>
      </c>
      <c r="T190" s="181" t="str">
        <f ca="1">IF(B190="","",IF(ISERROR(MATCH($J190,SorP!$B$1:$B$6226,0)),"",INDIRECT("'SorP'!$A$"&amp;MATCH($S190&amp;$J190,SorP!C:C,0))))</f>
        <v>CN-JX</v>
      </c>
      <c r="U190" s="201"/>
      <c r="V190" s="226">
        <f>IF(C190="",NA(),IF(OR(C190="Smelter not listed",C190="Smelter not yet identified"),MATCH($B190&amp;$D190,'Smelter Look-up'!$J:$J,0),MATCH($B190&amp;$C190,'Smelter Look-up'!$J:$J,0)))</f>
        <v>356</v>
      </c>
      <c r="X190" s="227">
        <f t="shared" si="24"/>
        <v>0</v>
      </c>
      <c r="AB190" s="228" t="str">
        <f t="shared" si="25"/>
        <v>TantalumJiujiang Zhongao Tantalum &amp; Niobium Co., Ltd.</v>
      </c>
    </row>
    <row r="191" spans="1:28" s="227" customFormat="1" ht="229.5">
      <c r="A191" s="181"/>
      <c r="B191" s="182" t="s">
        <v>1100</v>
      </c>
      <c r="C191" s="186" t="s">
        <v>2122</v>
      </c>
      <c r="D191" s="230" t="s">
        <v>2122</v>
      </c>
      <c r="E191" s="182" t="s">
        <v>1069</v>
      </c>
      <c r="F191" s="182" t="s">
        <v>1362</v>
      </c>
      <c r="G191" s="182" t="s">
        <v>13177</v>
      </c>
      <c r="H191" s="183" t="s">
        <v>16239</v>
      </c>
      <c r="I191" s="184" t="s">
        <v>1694</v>
      </c>
      <c r="J191" s="184" t="s">
        <v>13535</v>
      </c>
      <c r="K191" s="224"/>
      <c r="L191" s="224"/>
      <c r="M191" s="224"/>
      <c r="N191" s="224" t="s">
        <v>15876</v>
      </c>
      <c r="O191" s="224" t="s">
        <v>16240</v>
      </c>
      <c r="P191" s="185"/>
      <c r="Q191" s="225" t="s">
        <v>15840</v>
      </c>
      <c r="R191" s="182" t="str">
        <f ca="1">IF(ISERROR($V191),"",OFFSET('Smelter Look-up'!$C$4,$V191-4,0)&amp;"")</f>
        <v>FIR Metals &amp; Resource Ltd.</v>
      </c>
      <c r="S191" s="181" t="str">
        <f t="shared" ca="1" si="23"/>
        <v>CN</v>
      </c>
      <c r="T191" s="181" t="str">
        <f ca="1">IF(B191="","",IF(ISERROR(MATCH($J191,SorP!$B$1:$B$6226,0)),"",INDIRECT("'SorP'!$A$"&amp;MATCH($S191&amp;$J191,SorP!C:C,0))))</f>
        <v>CN-HN</v>
      </c>
      <c r="U191" s="201"/>
      <c r="V191" s="226">
        <f>IF(C191="",NA(),IF(OR(C191="Smelter not listed",C191="Smelter not yet identified"),MATCH($B191&amp;$D191,'Smelter Look-up'!$J:$J,0),MATCH($B191&amp;$C191,'Smelter Look-up'!$J:$J,0)))</f>
        <v>338</v>
      </c>
      <c r="X191" s="227">
        <f t="shared" si="24"/>
        <v>0</v>
      </c>
      <c r="AB191" s="228" t="str">
        <f t="shared" si="25"/>
        <v>TantalumFIR Metals &amp; Resource Ltd.</v>
      </c>
    </row>
    <row r="192" spans="1:28" s="227" customFormat="1" ht="94.5">
      <c r="A192" s="181"/>
      <c r="B192" s="182" t="s">
        <v>1100</v>
      </c>
      <c r="C192" s="186" t="s">
        <v>1360</v>
      </c>
      <c r="D192" s="230" t="s">
        <v>1360</v>
      </c>
      <c r="E192" s="182" t="s">
        <v>2384</v>
      </c>
      <c r="F192" s="182" t="s">
        <v>1361</v>
      </c>
      <c r="G192" s="182" t="s">
        <v>13177</v>
      </c>
      <c r="H192" s="183" t="s">
        <v>16241</v>
      </c>
      <c r="I192" s="184" t="s">
        <v>16242</v>
      </c>
      <c r="J192" s="184" t="s">
        <v>1703</v>
      </c>
      <c r="K192" s="224"/>
      <c r="L192" s="224"/>
      <c r="M192" s="224"/>
      <c r="N192" s="224" t="s">
        <v>15876</v>
      </c>
      <c r="O192" s="224" t="s">
        <v>16243</v>
      </c>
      <c r="P192" s="185"/>
      <c r="Q192" s="225" t="s">
        <v>15840</v>
      </c>
      <c r="R192" s="182" t="str">
        <f ca="1">IF(ISERROR($V192),"",OFFSET('Smelter Look-up'!$C$4,$V192-4,0)&amp;"")</f>
        <v>D Block Metals, LLC</v>
      </c>
      <c r="S192" s="181" t="str">
        <f t="shared" ca="1" si="23"/>
        <v>US</v>
      </c>
      <c r="T192" s="181" t="str">
        <f ca="1">IF(B192="","",IF(ISERROR(MATCH($J192,SorP!$B$1:$B$6226,0)),"",INDIRECT("'SorP'!$A$"&amp;MATCH($S192&amp;$J192,SorP!C:C,0))))</f>
        <v>US-NC</v>
      </c>
      <c r="U192" s="201"/>
      <c r="V192" s="226">
        <f>IF(C192="",NA(),IF(OR(C192="Smelter not listed",C192="Smelter not yet identified"),MATCH($B192&amp;$D192,'Smelter Look-up'!$J:$J,0),MATCH($B192&amp;$C192,'Smelter Look-up'!$J:$J,0)))</f>
        <v>335</v>
      </c>
      <c r="X192" s="227">
        <f t="shared" si="24"/>
        <v>0</v>
      </c>
      <c r="AB192" s="228" t="str">
        <f t="shared" si="25"/>
        <v>TantalumD Block Metals, LLC</v>
      </c>
    </row>
    <row r="193" spans="1:28" s="227" customFormat="1" ht="229.5">
      <c r="A193" s="181"/>
      <c r="B193" s="182" t="s">
        <v>1100</v>
      </c>
      <c r="C193" s="186" t="s">
        <v>1</v>
      </c>
      <c r="D193" s="230" t="s">
        <v>1</v>
      </c>
      <c r="E193" s="182" t="s">
        <v>1069</v>
      </c>
      <c r="F193" s="182" t="s">
        <v>383</v>
      </c>
      <c r="G193" s="182" t="s">
        <v>13177</v>
      </c>
      <c r="H193" s="183" t="s">
        <v>16244</v>
      </c>
      <c r="I193" s="184" t="s">
        <v>1702</v>
      </c>
      <c r="J193" s="184" t="s">
        <v>13535</v>
      </c>
      <c r="K193" s="224"/>
      <c r="L193" s="224"/>
      <c r="M193" s="224"/>
      <c r="N193" s="224" t="s">
        <v>16245</v>
      </c>
      <c r="O193" s="224" t="s">
        <v>16246</v>
      </c>
      <c r="P193" s="185"/>
      <c r="Q193" s="225" t="s">
        <v>15840</v>
      </c>
      <c r="R193" s="182" t="str">
        <f ca="1">IF(ISERROR($V193),"",OFFSET('Smelter Look-up'!$C$4,$V193-4,0)&amp;"")</f>
        <v>Hengyang King Xing Lifeng New Materials Co., Ltd.</v>
      </c>
      <c r="S193" s="181" t="str">
        <f t="shared" ca="1" si="23"/>
        <v>CN</v>
      </c>
      <c r="T193" s="181" t="str">
        <f ca="1">IF(B193="","",IF(ISERROR(MATCH($J193,SorP!$B$1:$B$6226,0)),"",INDIRECT("'SorP'!$A$"&amp;MATCH($S193&amp;$J193,SorP!C:C,0))))</f>
        <v>CN-HN</v>
      </c>
      <c r="U193" s="201"/>
      <c r="V193" s="226">
        <f>IF(C193="",NA(),IF(OR(C193="Smelter not listed",C193="Smelter not yet identified"),MATCH($B193&amp;$D193,'Smelter Look-up'!$J:$J,0),MATCH($B193&amp;$C193,'Smelter Look-up'!$J:$J,0)))</f>
        <v>348</v>
      </c>
      <c r="X193" s="227">
        <f t="shared" si="24"/>
        <v>0</v>
      </c>
      <c r="AB193" s="228" t="str">
        <f t="shared" si="25"/>
        <v>TantalumHengyang King Xing Lifeng New Materials Co., Ltd.</v>
      </c>
    </row>
    <row r="194" spans="1:28" s="227" customFormat="1" ht="216">
      <c r="A194" s="181"/>
      <c r="B194" s="182" t="s">
        <v>1100</v>
      </c>
      <c r="C194" s="186" t="s">
        <v>1700</v>
      </c>
      <c r="D194" s="230" t="s">
        <v>1700</v>
      </c>
      <c r="E194" s="182" t="s">
        <v>1078</v>
      </c>
      <c r="F194" s="182" t="s">
        <v>743</v>
      </c>
      <c r="G194" s="182" t="s">
        <v>13177</v>
      </c>
      <c r="H194" s="183" t="s">
        <v>16100</v>
      </c>
      <c r="I194" s="184" t="s">
        <v>1572</v>
      </c>
      <c r="J194" s="184" t="s">
        <v>7005</v>
      </c>
      <c r="K194" s="224"/>
      <c r="L194" s="224"/>
      <c r="M194" s="224"/>
      <c r="N194" s="224" t="s">
        <v>16247</v>
      </c>
      <c r="O194" s="224" t="s">
        <v>16248</v>
      </c>
      <c r="P194" s="185"/>
      <c r="Q194" s="225" t="s">
        <v>15840</v>
      </c>
      <c r="R194" s="182" t="str">
        <f ca="1">IF(ISERROR($V194),"",OFFSET('Smelter Look-up'!$C$4,$V194-4,0)&amp;"")</f>
        <v>Ulba Metallurgical Plant JSC</v>
      </c>
      <c r="S194" s="181" t="str">
        <f t="shared" ca="1" si="23"/>
        <v>KZ</v>
      </c>
      <c r="T194" s="181" t="str">
        <f ca="1">IF(B194="","",IF(ISERROR(MATCH($J194,SorP!$B$1:$B$6226,0)),"",INDIRECT("'SorP'!$A$"&amp;MATCH($S194&amp;$J194,SorP!C:C,0))))</f>
        <v>KZ-KAR</v>
      </c>
      <c r="U194" s="201"/>
      <c r="V194" s="226">
        <f>IF(C194="",NA(),IF(OR(C194="Smelter not listed",C194="Smelter not yet identified"),MATCH($B194&amp;$D194,'Smelter Look-up'!$J:$J,0),MATCH($B194&amp;$C194,'Smelter Look-up'!$J:$J,0)))</f>
        <v>390</v>
      </c>
      <c r="X194" s="227">
        <f t="shared" si="24"/>
        <v>0</v>
      </c>
      <c r="AB194" s="228" t="str">
        <f t="shared" si="25"/>
        <v>TantalumUlba Metallurgical Plant JSC</v>
      </c>
    </row>
    <row r="195" spans="1:28" s="227" customFormat="1" ht="229.5">
      <c r="A195" s="181"/>
      <c r="B195" s="182" t="s">
        <v>1100</v>
      </c>
      <c r="C195" s="186" t="s">
        <v>1697</v>
      </c>
      <c r="D195" s="230" t="s">
        <v>1697</v>
      </c>
      <c r="E195" s="182" t="s">
        <v>2384</v>
      </c>
      <c r="F195" s="182" t="s">
        <v>742</v>
      </c>
      <c r="G195" s="182" t="s">
        <v>13177</v>
      </c>
      <c r="H195" s="183" t="s">
        <v>16249</v>
      </c>
      <c r="I195" s="184" t="s">
        <v>1698</v>
      </c>
      <c r="J195" s="184" t="s">
        <v>1699</v>
      </c>
      <c r="K195" s="224"/>
      <c r="L195" s="224"/>
      <c r="M195" s="224"/>
      <c r="N195" s="224" t="s">
        <v>15876</v>
      </c>
      <c r="O195" s="224" t="s">
        <v>16250</v>
      </c>
      <c r="P195" s="185"/>
      <c r="Q195" s="225" t="s">
        <v>15840</v>
      </c>
      <c r="R195" s="182" t="str">
        <f ca="1">IF(ISERROR($V195),"",OFFSET('Smelter Look-up'!$C$4,$V195-4,0)&amp;"")</f>
        <v>Telex Metals</v>
      </c>
      <c r="S195" s="181" t="str">
        <f t="shared" ca="1" si="23"/>
        <v>US</v>
      </c>
      <c r="T195" s="181" t="str">
        <f ca="1">IF(B195="","",IF(ISERROR(MATCH($J195,SorP!$B$1:$B$6226,0)),"",INDIRECT("'SorP'!$A$"&amp;MATCH($S195&amp;$J195,SorP!C:C,0))))</f>
        <v>US-PA</v>
      </c>
      <c r="U195" s="201"/>
      <c r="V195" s="226">
        <f>IF(C195="",NA(),IF(OR(C195="Smelter not listed",C195="Smelter not yet identified"),MATCH($B195&amp;$D195,'Smelter Look-up'!$J:$J,0),MATCH($B195&amp;$C195,'Smelter Look-up'!$J:$J,0)))</f>
        <v>388</v>
      </c>
      <c r="X195" s="227">
        <f t="shared" si="24"/>
        <v>0</v>
      </c>
      <c r="AB195" s="228" t="str">
        <f t="shared" si="25"/>
        <v>TantalumTelex Metals</v>
      </c>
    </row>
    <row r="196" spans="1:28" s="227" customFormat="1" ht="216">
      <c r="A196" s="181"/>
      <c r="B196" s="182" t="s">
        <v>1100</v>
      </c>
      <c r="C196" s="186" t="s">
        <v>2397</v>
      </c>
      <c r="D196" s="230" t="s">
        <v>2397</v>
      </c>
      <c r="E196" s="182" t="s">
        <v>1077</v>
      </c>
      <c r="F196" s="182" t="s">
        <v>741</v>
      </c>
      <c r="G196" s="182" t="s">
        <v>13177</v>
      </c>
      <c r="H196" s="183" t="s">
        <v>16251</v>
      </c>
      <c r="I196" s="184" t="s">
        <v>1696</v>
      </c>
      <c r="J196" s="184" t="s">
        <v>1518</v>
      </c>
      <c r="K196" s="224"/>
      <c r="L196" s="224"/>
      <c r="M196" s="224"/>
      <c r="N196" s="224" t="s">
        <v>15861</v>
      </c>
      <c r="O196" s="224" t="s">
        <v>16252</v>
      </c>
      <c r="P196" s="185"/>
      <c r="Q196" s="225" t="s">
        <v>15840</v>
      </c>
      <c r="R196" s="182" t="str">
        <f ca="1">IF(ISERROR($V196),"",OFFSET('Smelter Look-up'!$C$4,$V196-4,0)&amp;"")</f>
        <v>Taki Chemical Co., Ltd.</v>
      </c>
      <c r="S196" s="181" t="str">
        <f t="shared" ca="1" si="23"/>
        <v>JP</v>
      </c>
      <c r="T196" s="181" t="str">
        <f ca="1">IF(B196="","",IF(ISERROR(MATCH($J196,SorP!$B$1:$B$6226,0)),"",INDIRECT("'SorP'!$A$"&amp;MATCH($S196&amp;$J196,SorP!C:C,0))))</f>
        <v>JP-28</v>
      </c>
      <c r="U196" s="201"/>
      <c r="V196" s="226">
        <f>IF(C196="",NA(),IF(OR(C196="Smelter not listed",C196="Smelter not yet identified"),MATCH($B196&amp;$D196,'Smelter Look-up'!$J:$J,0),MATCH($B196&amp;$C196,'Smelter Look-up'!$J:$J,0)))</f>
        <v>382</v>
      </c>
      <c r="X196" s="227">
        <f t="shared" si="24"/>
        <v>0</v>
      </c>
      <c r="AB196" s="228" t="str">
        <f t="shared" si="25"/>
        <v>TantalumTaki Chemical Co., Ltd.</v>
      </c>
    </row>
    <row r="197" spans="1:28" s="227" customFormat="1" ht="216">
      <c r="A197" s="181"/>
      <c r="B197" s="182" t="s">
        <v>1100</v>
      </c>
      <c r="C197" s="186" t="s">
        <v>1343</v>
      </c>
      <c r="D197" s="230" t="s">
        <v>1343</v>
      </c>
      <c r="E197" s="182" t="s">
        <v>854</v>
      </c>
      <c r="F197" s="182" t="s">
        <v>740</v>
      </c>
      <c r="G197" s="182" t="s">
        <v>13177</v>
      </c>
      <c r="H197" s="183" t="s">
        <v>16253</v>
      </c>
      <c r="I197" s="184" t="s">
        <v>1695</v>
      </c>
      <c r="J197" s="184" t="s">
        <v>9955</v>
      </c>
      <c r="K197" s="224"/>
      <c r="L197" s="224"/>
      <c r="M197" s="224"/>
      <c r="N197" s="224" t="s">
        <v>16254</v>
      </c>
      <c r="O197" s="224" t="s">
        <v>16255</v>
      </c>
      <c r="P197" s="185"/>
      <c r="Q197" s="225"/>
      <c r="R197" s="182" t="str">
        <f ca="1">IF(ISERROR($V197),"",OFFSET('Smelter Look-up'!$C$4,$V197-4,0)&amp;"")</f>
        <v>Solikamsk Magnesium Works OAO</v>
      </c>
      <c r="S197" s="181" t="str">
        <f t="shared" ref="S197" ca="1" si="26">IF(B197="","",IF(ISERROR(MATCH($E197,CL,0)),"Unknown",INDIRECT("'C'!$A$"&amp;MATCH($E197,CL,0)+1)))</f>
        <v>RU</v>
      </c>
      <c r="T197" s="181" t="str">
        <f ca="1">IF(B197="","",IF(ISERROR(MATCH($J197,SorP!$B$1:$B$6226,0)),"",INDIRECT("'SorP'!$A$"&amp;MATCH($S197&amp;$J197,SorP!C:C,0))))</f>
        <v>RU-PER</v>
      </c>
      <c r="U197" s="201"/>
      <c r="V197" s="226">
        <f>IF(C197="",NA(),IF(OR(C197="Smelter not listed",C197="Smelter not yet identified"),MATCH($B197&amp;$D197,'Smelter Look-up'!$J:$J,0),MATCH($B197&amp;$C197,'Smelter Look-up'!$J:$J,0)))</f>
        <v>380</v>
      </c>
      <c r="X197" s="227">
        <f t="shared" ref="X197" si="27">IF(AND(C197="Smelter not listed",OR(LEN(D197)=0,LEN(E197)=0)),1,0)</f>
        <v>0</v>
      </c>
      <c r="AB197" s="228" t="str">
        <f t="shared" ref="AB197" si="28">B197&amp;C197</f>
        <v>TantalumSolikamsk Magnesium Works OAO</v>
      </c>
    </row>
    <row r="198" spans="1:28" s="227" customFormat="1" ht="94.5">
      <c r="A198" s="181"/>
      <c r="B198" s="182" t="s">
        <v>1100</v>
      </c>
      <c r="C198" s="186" t="s">
        <v>13196</v>
      </c>
      <c r="D198" s="230" t="s">
        <v>13196</v>
      </c>
      <c r="E198" s="182" t="s">
        <v>1069</v>
      </c>
      <c r="F198" s="182" t="s">
        <v>739</v>
      </c>
      <c r="G198" s="182" t="s">
        <v>13177</v>
      </c>
      <c r="H198" s="183" t="s">
        <v>16239</v>
      </c>
      <c r="I198" s="184" t="s">
        <v>1694</v>
      </c>
      <c r="J198" s="184" t="s">
        <v>13535</v>
      </c>
      <c r="K198" s="224"/>
      <c r="L198" s="224"/>
      <c r="M198" s="224"/>
      <c r="N198" s="224" t="s">
        <v>12533</v>
      </c>
      <c r="O198" s="224" t="s">
        <v>16256</v>
      </c>
      <c r="P198" s="185"/>
      <c r="Q198" s="225" t="s">
        <v>15840</v>
      </c>
      <c r="R198" s="182" t="str">
        <f ca="1">IF(ISERROR($V198),"",OFFSET('Smelter Look-up'!$C$4,$V198-4,0)&amp;"")</f>
        <v>Yanling Jincheng Tantalum &amp; Niobium Co., Ltd.</v>
      </c>
      <c r="S198" s="181" t="str">
        <f t="shared" ref="S198:S229" ca="1" si="29">IF(B198="","",IF(ISERROR(MATCH($E198,CL,0)),"Unknown",INDIRECT("'C'!$A$"&amp;MATCH($E198,CL,0)+1)))</f>
        <v>CN</v>
      </c>
      <c r="T198" s="181" t="str">
        <f ca="1">IF(B198="","",IF(ISERROR(MATCH($J198,SorP!$B$1:$B$6226,0)),"",INDIRECT("'SorP'!$A$"&amp;MATCH($S198&amp;$J198,SorP!C:C,0))))</f>
        <v>CN-HN</v>
      </c>
      <c r="U198" s="201"/>
      <c r="V198" s="226">
        <f>IF(C198="",NA(),IF(OR(C198="Smelter not listed",C198="Smelter not yet identified"),MATCH($B198&amp;$D198,'Smelter Look-up'!$J:$J,0),MATCH($B198&amp;$C198,'Smelter Look-up'!$J:$J,0)))</f>
        <v>393</v>
      </c>
      <c r="X198" s="227">
        <f t="shared" ref="X198:X229" si="30">IF(AND(C198="Smelter not listed",OR(LEN(D198)=0,LEN(E198)=0)),1,0)</f>
        <v>0</v>
      </c>
      <c r="AB198" s="228" t="str">
        <f t="shared" ref="AB198:AB229" si="31">B198&amp;C198</f>
        <v>TantalumYanling Jincheng Tantalum &amp; Niobium Co., Ltd.</v>
      </c>
    </row>
    <row r="199" spans="1:28" s="227" customFormat="1" ht="148.5">
      <c r="A199" s="181"/>
      <c r="B199" s="182" t="s">
        <v>1100</v>
      </c>
      <c r="C199" s="186" t="s">
        <v>16257</v>
      </c>
      <c r="D199" s="230" t="s">
        <v>16257</v>
      </c>
      <c r="E199" s="182" t="s">
        <v>2384</v>
      </c>
      <c r="F199" s="182" t="s">
        <v>16258</v>
      </c>
      <c r="G199" s="182" t="s">
        <v>13177</v>
      </c>
      <c r="H199" s="183" t="s">
        <v>16259</v>
      </c>
      <c r="I199" s="184" t="s">
        <v>16260</v>
      </c>
      <c r="J199" s="184" t="s">
        <v>2215</v>
      </c>
      <c r="K199" s="224"/>
      <c r="L199" s="224"/>
      <c r="M199" s="224"/>
      <c r="N199" s="224" t="s">
        <v>15861</v>
      </c>
      <c r="O199" s="224" t="s">
        <v>16261</v>
      </c>
      <c r="P199" s="185"/>
      <c r="Q199" s="225" t="s">
        <v>15840</v>
      </c>
      <c r="R199" s="182" t="str">
        <f ca="1">IF(ISERROR($V199),"",OFFSET('Smelter Look-up'!$C$4,$V199-4,0)&amp;"")</f>
        <v/>
      </c>
      <c r="S199" s="181" t="str">
        <f t="shared" ca="1" si="29"/>
        <v>US</v>
      </c>
      <c r="T199" s="181" t="str">
        <f ca="1">IF(B199="","",IF(ISERROR(MATCH($J199,SorP!$B$1:$B$6226,0)),"",INDIRECT("'SorP'!$A$"&amp;MATCH($S199&amp;$J199,SorP!C:C,0))))</f>
        <v>US-TX</v>
      </c>
      <c r="U199" s="201"/>
      <c r="V199" s="226" t="e">
        <f>IF(C199="",NA(),IF(OR(C199="Smelter not listed",C199="Smelter not yet identified"),MATCH($B199&amp;$D199,'Smelter Look-up'!$J:$J,0),MATCH($B199&amp;$C199,'Smelter Look-up'!$J:$J,0)))</f>
        <v>#N/A</v>
      </c>
      <c r="X199" s="227">
        <f t="shared" si="30"/>
        <v>0</v>
      </c>
      <c r="AB199" s="228" t="str">
        <f t="shared" si="31"/>
        <v>TantalumQuantumClean</v>
      </c>
    </row>
    <row r="200" spans="1:28" s="227" customFormat="1" ht="229.5">
      <c r="A200" s="181"/>
      <c r="B200" s="182" t="s">
        <v>1100</v>
      </c>
      <c r="C200" s="186" t="s">
        <v>999</v>
      </c>
      <c r="D200" s="230" t="s">
        <v>999</v>
      </c>
      <c r="E200" s="182" t="s">
        <v>1069</v>
      </c>
      <c r="F200" s="182" t="s">
        <v>738</v>
      </c>
      <c r="G200" s="182" t="s">
        <v>13177</v>
      </c>
      <c r="H200" s="183" t="s">
        <v>16262</v>
      </c>
      <c r="I200" s="184" t="s">
        <v>1692</v>
      </c>
      <c r="J200" s="184" t="s">
        <v>13517</v>
      </c>
      <c r="K200" s="224"/>
      <c r="L200" s="224"/>
      <c r="M200" s="224"/>
      <c r="N200" s="224" t="s">
        <v>16263</v>
      </c>
      <c r="O200" s="224" t="s">
        <v>16264</v>
      </c>
      <c r="P200" s="185"/>
      <c r="Q200" s="225" t="s">
        <v>15840</v>
      </c>
      <c r="R200" s="182" t="str">
        <f ca="1">IF(ISERROR($V200),"",OFFSET('Smelter Look-up'!$C$4,$V200-4,0)&amp;"")</f>
        <v>Ningxia Orient Tantalum Industry Co., Ltd.</v>
      </c>
      <c r="S200" s="181" t="str">
        <f t="shared" ca="1" si="29"/>
        <v>CN</v>
      </c>
      <c r="T200" s="181" t="str">
        <f ca="1">IF(B200="","",IF(ISERROR(MATCH($J200,SorP!$B$1:$B$6226,0)),"",INDIRECT("'SorP'!$A$"&amp;MATCH($S200&amp;$J200,SorP!C:C,0))))</f>
        <v>CN-NX</v>
      </c>
      <c r="U200" s="201"/>
      <c r="V200" s="226">
        <f>IF(C200="",NA(),IF(OR(C200="Smelter not listed",C200="Smelter not yet identified"),MATCH($B200&amp;$D200,'Smelter Look-up'!$J:$J,0),MATCH($B200&amp;$C200,'Smelter Look-up'!$J:$J,0)))</f>
        <v>370</v>
      </c>
      <c r="X200" s="227">
        <f t="shared" si="30"/>
        <v>0</v>
      </c>
      <c r="AB200" s="228" t="str">
        <f t="shared" si="31"/>
        <v>TantalumNingxia Orient Tantalum Industry Co., Ltd.</v>
      </c>
    </row>
    <row r="201" spans="1:28" s="227" customFormat="1" ht="229.5">
      <c r="A201" s="181"/>
      <c r="B201" s="182" t="s">
        <v>1100</v>
      </c>
      <c r="C201" s="186" t="s">
        <v>2478</v>
      </c>
      <c r="D201" s="230" t="s">
        <v>2478</v>
      </c>
      <c r="E201" s="182" t="s">
        <v>1072</v>
      </c>
      <c r="F201" s="182" t="s">
        <v>737</v>
      </c>
      <c r="G201" s="182" t="s">
        <v>13177</v>
      </c>
      <c r="H201" s="183" t="s">
        <v>16265</v>
      </c>
      <c r="I201" s="184" t="s">
        <v>1690</v>
      </c>
      <c r="J201" s="184" t="s">
        <v>1691</v>
      </c>
      <c r="K201" s="224"/>
      <c r="L201" s="224"/>
      <c r="M201" s="224"/>
      <c r="N201" s="224" t="s">
        <v>16205</v>
      </c>
      <c r="O201" s="224" t="s">
        <v>16266</v>
      </c>
      <c r="P201" s="185"/>
      <c r="Q201" s="225" t="s">
        <v>15840</v>
      </c>
      <c r="R201" s="182" t="str">
        <f ca="1">IF(ISERROR($V201),"",OFFSET('Smelter Look-up'!$C$4,$V201-4,0)&amp;"")</f>
        <v>NPM Silmet AS</v>
      </c>
      <c r="S201" s="181" t="str">
        <f t="shared" ca="1" si="29"/>
        <v>EE</v>
      </c>
      <c r="T201" s="181" t="str">
        <f ca="1">IF(B201="","",IF(ISERROR(MATCH($J201,SorP!$B$1:$B$6226,0)),"",INDIRECT("'SorP'!$A$"&amp;MATCH($S201&amp;$J201,SorP!C:C,0))))</f>
        <v>EE-45</v>
      </c>
      <c r="U201" s="201"/>
      <c r="V201" s="226">
        <f>IF(C201="",NA(),IF(OR(C201="Smelter not listed",C201="Smelter not yet identified"),MATCH($B201&amp;$D201,'Smelter Look-up'!$J:$J,0),MATCH($B201&amp;$C201,'Smelter Look-up'!$J:$J,0)))</f>
        <v>371</v>
      </c>
      <c r="X201" s="227">
        <f t="shared" si="30"/>
        <v>0</v>
      </c>
      <c r="AB201" s="228" t="str">
        <f t="shared" si="31"/>
        <v>TantalumNPM Silmet AS</v>
      </c>
    </row>
    <row r="202" spans="1:28" s="227" customFormat="1" ht="108">
      <c r="A202" s="181"/>
      <c r="B202" s="182" t="s">
        <v>1100</v>
      </c>
      <c r="C202" s="186" t="s">
        <v>1196</v>
      </c>
      <c r="D202" s="230" t="s">
        <v>1196</v>
      </c>
      <c r="E202" s="182" t="s">
        <v>1077</v>
      </c>
      <c r="F202" s="182" t="s">
        <v>736</v>
      </c>
      <c r="G202" s="182" t="s">
        <v>13177</v>
      </c>
      <c r="H202" s="183" t="s">
        <v>16267</v>
      </c>
      <c r="I202" s="184" t="s">
        <v>1688</v>
      </c>
      <c r="J202" s="184" t="s">
        <v>1689</v>
      </c>
      <c r="K202" s="224"/>
      <c r="L202" s="224"/>
      <c r="M202" s="224"/>
      <c r="N202" s="224" t="s">
        <v>15876</v>
      </c>
      <c r="O202" s="224" t="s">
        <v>16268</v>
      </c>
      <c r="P202" s="185"/>
      <c r="Q202" s="225" t="s">
        <v>15840</v>
      </c>
      <c r="R202" s="182" t="str">
        <f ca="1">IF(ISERROR($V202),"",OFFSET('Smelter Look-up'!$C$4,$V202-4,0)&amp;"")</f>
        <v>Mitsui Mining and Smelting Co., Ltd.</v>
      </c>
      <c r="S202" s="181" t="str">
        <f t="shared" ca="1" si="29"/>
        <v>JP</v>
      </c>
      <c r="T202" s="181" t="str">
        <f ca="1">IF(B202="","",IF(ISERROR(MATCH($J202,SorP!$B$1:$B$6226,0)),"",INDIRECT("'SorP'!$A$"&amp;MATCH($S202&amp;$J202,SorP!C:C,0))))</f>
        <v>JP-40</v>
      </c>
      <c r="U202" s="201"/>
      <c r="V202" s="226">
        <f>IF(C202="",NA(),IF(OR(C202="Smelter not listed",C202="Smelter not yet identified"),MATCH($B202&amp;$D202,'Smelter Look-up'!$J:$J,0),MATCH($B202&amp;$C202,'Smelter Look-up'!$J:$J,0)))</f>
        <v>367</v>
      </c>
      <c r="X202" s="227">
        <f t="shared" si="30"/>
        <v>0</v>
      </c>
      <c r="AB202" s="228" t="str">
        <f t="shared" si="31"/>
        <v>TantalumMitsui Mining and Smelting Co., Ltd.</v>
      </c>
    </row>
    <row r="203" spans="1:28" s="227" customFormat="1" ht="27">
      <c r="A203" s="181"/>
      <c r="B203" s="182" t="s">
        <v>1100</v>
      </c>
      <c r="C203" s="186" t="s">
        <v>12377</v>
      </c>
      <c r="D203" s="230" t="s">
        <v>12377</v>
      </c>
      <c r="E203" s="182" t="s">
        <v>1065</v>
      </c>
      <c r="F203" s="182" t="s">
        <v>735</v>
      </c>
      <c r="G203" s="182" t="s">
        <v>13177</v>
      </c>
      <c r="H203" s="183" t="s">
        <v>16269</v>
      </c>
      <c r="I203" s="184" t="s">
        <v>1686</v>
      </c>
      <c r="J203" s="184" t="s">
        <v>1687</v>
      </c>
      <c r="K203" s="224"/>
      <c r="L203" s="224"/>
      <c r="M203" s="224"/>
      <c r="N203" s="224" t="s">
        <v>16254</v>
      </c>
      <c r="O203" s="224" t="s">
        <v>16270</v>
      </c>
      <c r="P203" s="185"/>
      <c r="Q203" s="225" t="s">
        <v>15840</v>
      </c>
      <c r="R203" s="182" t="str">
        <f ca="1">IF(ISERROR($V203),"",OFFSET('Smelter Look-up'!$C$4,$V203-4,0)&amp;"")</f>
        <v>Mineracao Taboca S.A.</v>
      </c>
      <c r="S203" s="181" t="str">
        <f t="shared" ca="1" si="29"/>
        <v>BR</v>
      </c>
      <c r="T203" s="181" t="str">
        <f ca="1">IF(B203="","",IF(ISERROR(MATCH($J203,SorP!$B$1:$B$6226,0)),"",INDIRECT("'SorP'!$A$"&amp;MATCH($S203&amp;$J203,SorP!C:C,0))))</f>
        <v>BR-AM</v>
      </c>
      <c r="U203" s="201"/>
      <c r="V203" s="226">
        <f>IF(C203="",NA(),IF(OR(C203="Smelter not listed",C203="Smelter not yet identified"),MATCH($B203&amp;$D203,'Smelter Look-up'!$J:$J,0),MATCH($B203&amp;$C203,'Smelter Look-up'!$J:$J,0)))</f>
        <v>363</v>
      </c>
      <c r="X203" s="227">
        <f t="shared" si="30"/>
        <v>0</v>
      </c>
      <c r="AB203" s="228" t="str">
        <f t="shared" si="31"/>
        <v>TantalumMineracao Taboca S.A.</v>
      </c>
    </row>
    <row r="204" spans="1:28" s="227" customFormat="1" ht="216">
      <c r="A204" s="181"/>
      <c r="B204" s="182" t="s">
        <v>1100</v>
      </c>
      <c r="C204" s="186" t="s">
        <v>2107</v>
      </c>
      <c r="D204" s="230" t="s">
        <v>2107</v>
      </c>
      <c r="E204" s="182" t="s">
        <v>1075</v>
      </c>
      <c r="F204" s="182" t="s">
        <v>734</v>
      </c>
      <c r="G204" s="182" t="s">
        <v>13177</v>
      </c>
      <c r="H204" s="183" t="s">
        <v>16271</v>
      </c>
      <c r="I204" s="184" t="s">
        <v>1684</v>
      </c>
      <c r="J204" s="184" t="s">
        <v>15936</v>
      </c>
      <c r="K204" s="224"/>
      <c r="L204" s="224"/>
      <c r="M204" s="224"/>
      <c r="N204" s="224" t="s">
        <v>15876</v>
      </c>
      <c r="O204" s="224" t="s">
        <v>16272</v>
      </c>
      <c r="P204" s="185"/>
      <c r="Q204" s="225" t="s">
        <v>15840</v>
      </c>
      <c r="R204" s="182" t="str">
        <f ca="1">IF(ISERROR($V204),"",OFFSET('Smelter Look-up'!$C$4,$V204-4,0)&amp;"")</f>
        <v>Metallurgical Products India Pvt., Ltd.</v>
      </c>
      <c r="S204" s="181" t="str">
        <f t="shared" ca="1" si="29"/>
        <v>IN</v>
      </c>
      <c r="T204" s="181" t="str">
        <f ca="1">IF(B204="","",IF(ISERROR(MATCH($J204,SorP!$B$1:$B$6226,0)),"",INDIRECT("'SorP'!$A$"&amp;MATCH($S204&amp;$J204,SorP!C:C,0))))</f>
        <v/>
      </c>
      <c r="U204" s="201"/>
      <c r="V204" s="226">
        <f>IF(C204="",NA(),IF(OR(C204="Smelter not listed",C204="Smelter not yet identified"),MATCH($B204&amp;$D204,'Smelter Look-up'!$J:$J,0),MATCH($B204&amp;$C204,'Smelter Look-up'!$J:$J,0)))</f>
        <v>362</v>
      </c>
      <c r="X204" s="227">
        <f t="shared" si="30"/>
        <v>0</v>
      </c>
      <c r="AB204" s="228" t="str">
        <f t="shared" si="31"/>
        <v>TantalumMetallurgical Products India Pvt., Ltd.</v>
      </c>
    </row>
    <row r="205" spans="1:28" s="227" customFormat="1" ht="229.5">
      <c r="A205" s="181"/>
      <c r="B205" s="182" t="s">
        <v>1100</v>
      </c>
      <c r="C205" s="186" t="s">
        <v>15301</v>
      </c>
      <c r="D205" s="230" t="s">
        <v>15301</v>
      </c>
      <c r="E205" s="182" t="s">
        <v>1065</v>
      </c>
      <c r="F205" s="182" t="s">
        <v>733</v>
      </c>
      <c r="G205" s="182" t="s">
        <v>13177</v>
      </c>
      <c r="H205" s="183" t="s">
        <v>16273</v>
      </c>
      <c r="I205" s="184" t="s">
        <v>1683</v>
      </c>
      <c r="J205" s="184" t="s">
        <v>1515</v>
      </c>
      <c r="K205" s="224"/>
      <c r="L205" s="224"/>
      <c r="M205" s="224"/>
      <c r="N205" s="224" t="s">
        <v>12533</v>
      </c>
      <c r="O205" s="224" t="s">
        <v>16274</v>
      </c>
      <c r="P205" s="185"/>
      <c r="Q205" s="225" t="s">
        <v>15840</v>
      </c>
      <c r="R205" s="182" t="str">
        <f ca="1">IF(ISERROR($V205),"",OFFSET('Smelter Look-up'!$C$4,$V205-4,0)&amp;"")</f>
        <v>AMG Brasil</v>
      </c>
      <c r="S205" s="181" t="str">
        <f t="shared" ca="1" si="29"/>
        <v>BR</v>
      </c>
      <c r="T205" s="181" t="str">
        <f ca="1">IF(B205="","",IF(ISERROR(MATCH($J205,SorP!$B$1:$B$6226,0)),"",INDIRECT("'SorP'!$A$"&amp;MATCH($S205&amp;$J205,SorP!C:C,0))))</f>
        <v>BR-MG</v>
      </c>
      <c r="U205" s="201"/>
      <c r="V205" s="226">
        <f>IF(C205="",NA(),IF(OR(C205="Smelter not listed",C205="Smelter not yet identified"),MATCH($B205&amp;$D205,'Smelter Look-up'!$J:$J,0),MATCH($B205&amp;$C205,'Smelter Look-up'!$J:$J,0)))</f>
        <v>333</v>
      </c>
      <c r="X205" s="227">
        <f t="shared" si="30"/>
        <v>0</v>
      </c>
      <c r="AB205" s="228" t="str">
        <f t="shared" si="31"/>
        <v>TantalumAMG Brasil</v>
      </c>
    </row>
    <row r="206" spans="1:28" s="227" customFormat="1" ht="243">
      <c r="A206" s="181"/>
      <c r="B206" s="182" t="s">
        <v>1100</v>
      </c>
      <c r="C206" s="186" t="s">
        <v>44</v>
      </c>
      <c r="D206" s="230" t="s">
        <v>44</v>
      </c>
      <c r="E206" s="182" t="s">
        <v>1069</v>
      </c>
      <c r="F206" s="182" t="s">
        <v>732</v>
      </c>
      <c r="G206" s="182" t="s">
        <v>13177</v>
      </c>
      <c r="H206" s="183" t="s">
        <v>16237</v>
      </c>
      <c r="I206" s="184" t="s">
        <v>1682</v>
      </c>
      <c r="J206" s="184" t="s">
        <v>13531</v>
      </c>
      <c r="K206" s="224"/>
      <c r="L206" s="224"/>
      <c r="M206" s="224"/>
      <c r="N206" s="224" t="s">
        <v>16275</v>
      </c>
      <c r="O206" s="224" t="s">
        <v>16276</v>
      </c>
      <c r="P206" s="185"/>
      <c r="Q206" s="225" t="s">
        <v>15840</v>
      </c>
      <c r="R206" s="182" t="str">
        <f ca="1">IF(ISERROR($V206),"",OFFSET('Smelter Look-up'!$C$4,$V206-4,0)&amp;"")</f>
        <v>Jiujiang Tanbre Co., Ltd.</v>
      </c>
      <c r="S206" s="181" t="str">
        <f t="shared" ca="1" si="29"/>
        <v>CN</v>
      </c>
      <c r="T206" s="181" t="str">
        <f ca="1">IF(B206="","",IF(ISERROR(MATCH($J206,SorP!$B$1:$B$6226,0)),"",INDIRECT("'SorP'!$A$"&amp;MATCH($S206&amp;$J206,SorP!C:C,0))))</f>
        <v>CN-JX</v>
      </c>
      <c r="U206" s="201"/>
      <c r="V206" s="226">
        <f>IF(C206="",NA(),IF(OR(C206="Smelter not listed",C206="Smelter not yet identified"),MATCH($B206&amp;$D206,'Smelter Look-up'!$J:$J,0),MATCH($B206&amp;$C206,'Smelter Look-up'!$J:$J,0)))</f>
        <v>355</v>
      </c>
      <c r="X206" s="227">
        <f t="shared" si="30"/>
        <v>0</v>
      </c>
      <c r="AB206" s="228" t="str">
        <f t="shared" si="31"/>
        <v>TantalumJiujiang Tanbre Co., Ltd.</v>
      </c>
    </row>
    <row r="207" spans="1:28" s="227" customFormat="1" ht="229.5">
      <c r="A207" s="181"/>
      <c r="B207" s="182" t="s">
        <v>1100</v>
      </c>
      <c r="C207" s="186" t="s">
        <v>2</v>
      </c>
      <c r="D207" s="230" t="s">
        <v>2</v>
      </c>
      <c r="E207" s="182" t="s">
        <v>1069</v>
      </c>
      <c r="F207" s="182" t="s">
        <v>731</v>
      </c>
      <c r="G207" s="182" t="s">
        <v>13177</v>
      </c>
      <c r="H207" s="183" t="s">
        <v>16237</v>
      </c>
      <c r="I207" s="184" t="s">
        <v>1682</v>
      </c>
      <c r="J207" s="184" t="s">
        <v>13531</v>
      </c>
      <c r="K207" s="224"/>
      <c r="L207" s="224"/>
      <c r="M207" s="224"/>
      <c r="N207" s="224" t="s">
        <v>16263</v>
      </c>
      <c r="O207" s="224" t="s">
        <v>16277</v>
      </c>
      <c r="P207" s="185"/>
      <c r="Q207" s="225" t="s">
        <v>15840</v>
      </c>
      <c r="R207" s="182" t="str">
        <f ca="1">IF(ISERROR($V207),"",OFFSET('Smelter Look-up'!$C$4,$V207-4,0)&amp;"")</f>
        <v>JiuJiang JinXin Nonferrous Metals Co., Ltd.</v>
      </c>
      <c r="S207" s="181" t="str">
        <f t="shared" ca="1" si="29"/>
        <v>CN</v>
      </c>
      <c r="T207" s="181" t="str">
        <f ca="1">IF(B207="","",IF(ISERROR(MATCH($J207,SorP!$B$1:$B$6226,0)),"",INDIRECT("'SorP'!$A$"&amp;MATCH($S207&amp;$J207,SorP!C:C,0))))</f>
        <v>CN-JX</v>
      </c>
      <c r="U207" s="201"/>
      <c r="V207" s="226">
        <f>IF(C207="",NA(),IF(OR(C207="Smelter not listed",C207="Smelter not yet identified"),MATCH($B207&amp;$D207,'Smelter Look-up'!$J:$J,0),MATCH($B207&amp;$C207,'Smelter Look-up'!$J:$J,0)))</f>
        <v>353</v>
      </c>
      <c r="X207" s="227">
        <f t="shared" si="30"/>
        <v>0</v>
      </c>
      <c r="AB207" s="228" t="str">
        <f t="shared" si="31"/>
        <v>TantalumJiuJiang JinXin Nonferrous Metals Co., Ltd.</v>
      </c>
    </row>
    <row r="208" spans="1:28" s="227" customFormat="1" ht="216">
      <c r="A208" s="181"/>
      <c r="B208" s="182" t="s">
        <v>1100</v>
      </c>
      <c r="C208" s="186" t="s">
        <v>14945</v>
      </c>
      <c r="D208" s="230" t="s">
        <v>14945</v>
      </c>
      <c r="E208" s="182" t="s">
        <v>1069</v>
      </c>
      <c r="F208" s="182" t="s">
        <v>730</v>
      </c>
      <c r="G208" s="182" t="s">
        <v>13177</v>
      </c>
      <c r="H208" s="183" t="s">
        <v>16278</v>
      </c>
      <c r="I208" s="184" t="s">
        <v>1681</v>
      </c>
      <c r="J208" s="184" t="s">
        <v>13536</v>
      </c>
      <c r="K208" s="224"/>
      <c r="L208" s="224"/>
      <c r="M208" s="224"/>
      <c r="N208" s="224" t="s">
        <v>16245</v>
      </c>
      <c r="O208" s="224" t="s">
        <v>16279</v>
      </c>
      <c r="P208" s="185"/>
      <c r="Q208" s="225" t="s">
        <v>15840</v>
      </c>
      <c r="R208" s="182" t="str">
        <f ca="1">IF(ISERROR($V208),"",OFFSET('Smelter Look-up'!$C$4,$V208-4,0)&amp;"")</f>
        <v>XIMEI RESOURCES (GUANGDONG) LIMITED</v>
      </c>
      <c r="S208" s="181" t="str">
        <f t="shared" ca="1" si="29"/>
        <v>CN</v>
      </c>
      <c r="T208" s="181" t="str">
        <f ca="1">IF(B208="","",IF(ISERROR(MATCH($J208,SorP!$B$1:$B$6226,0)),"",INDIRECT("'SorP'!$A$"&amp;MATCH($S208&amp;$J208,SorP!C:C,0))))</f>
        <v>CN-GD</v>
      </c>
      <c r="U208" s="201"/>
      <c r="V208" s="226">
        <f>IF(C208="",NA(),IF(OR(C208="Smelter not listed",C208="Smelter not yet identified"),MATCH($B208&amp;$D208,'Smelter Look-up'!$J:$J,0),MATCH($B208&amp;$C208,'Smelter Look-up'!$J:$J,0)))</f>
        <v>391</v>
      </c>
      <c r="X208" s="227">
        <f t="shared" si="30"/>
        <v>0</v>
      </c>
      <c r="AB208" s="228" t="str">
        <f t="shared" si="31"/>
        <v>TantalumXIMEI RESOURCES (GUANGDONG) LIMITED</v>
      </c>
    </row>
    <row r="209" spans="1:28" s="227" customFormat="1" ht="229.5">
      <c r="A209" s="181"/>
      <c r="B209" s="182" t="s">
        <v>1100</v>
      </c>
      <c r="C209" s="186" t="s">
        <v>43</v>
      </c>
      <c r="D209" s="230" t="s">
        <v>43</v>
      </c>
      <c r="E209" s="182" t="s">
        <v>1069</v>
      </c>
      <c r="F209" s="182" t="s">
        <v>728</v>
      </c>
      <c r="G209" s="182" t="s">
        <v>13177</v>
      </c>
      <c r="H209" s="183" t="s">
        <v>16280</v>
      </c>
      <c r="I209" s="184" t="s">
        <v>1679</v>
      </c>
      <c r="J209" s="184" t="s">
        <v>13536</v>
      </c>
      <c r="K209" s="224"/>
      <c r="L209" s="224"/>
      <c r="M209" s="224"/>
      <c r="N209" s="224" t="s">
        <v>16263</v>
      </c>
      <c r="O209" s="224" t="s">
        <v>16281</v>
      </c>
      <c r="P209" s="185"/>
      <c r="Q209" s="225" t="s">
        <v>15840</v>
      </c>
      <c r="R209" s="182" t="str">
        <f ca="1">IF(ISERROR($V209),"",OFFSET('Smelter Look-up'!$C$4,$V209-4,0)&amp;"")</f>
        <v>F&amp;X Electro-Materials Ltd.</v>
      </c>
      <c r="S209" s="181" t="str">
        <f t="shared" ca="1" si="29"/>
        <v>CN</v>
      </c>
      <c r="T209" s="181" t="str">
        <f ca="1">IF(B209="","",IF(ISERROR(MATCH($J209,SorP!$B$1:$B$6226,0)),"",INDIRECT("'SorP'!$A$"&amp;MATCH($S209&amp;$J209,SorP!C:C,0))))</f>
        <v>CN-GD</v>
      </c>
      <c r="U209" s="201"/>
      <c r="V209" s="226">
        <f>IF(C209="",NA(),IF(OR(C209="Smelter not listed",C209="Smelter not yet identified"),MATCH($B209&amp;$D209,'Smelter Look-up'!$J:$J,0),MATCH($B209&amp;$C209,'Smelter Look-up'!$J:$J,0)))</f>
        <v>337</v>
      </c>
      <c r="X209" s="227">
        <f t="shared" si="30"/>
        <v>0</v>
      </c>
      <c r="AB209" s="228" t="str">
        <f t="shared" si="31"/>
        <v>TantalumF&amp;X Electro-Materials Ltd.</v>
      </c>
    </row>
    <row r="210" spans="1:28" s="227" customFormat="1" ht="81">
      <c r="A210" s="181"/>
      <c r="B210" s="182" t="s">
        <v>1100</v>
      </c>
      <c r="C210" s="186" t="s">
        <v>16282</v>
      </c>
      <c r="D210" s="230" t="s">
        <v>16282</v>
      </c>
      <c r="E210" s="182" t="s">
        <v>1069</v>
      </c>
      <c r="F210" s="182" t="s">
        <v>16283</v>
      </c>
      <c r="G210" s="182" t="s">
        <v>13177</v>
      </c>
      <c r="H210" s="183" t="s">
        <v>16284</v>
      </c>
      <c r="I210" s="184" t="s">
        <v>16285</v>
      </c>
      <c r="J210" s="184" t="s">
        <v>13535</v>
      </c>
      <c r="K210" s="224"/>
      <c r="L210" s="224"/>
      <c r="M210" s="224"/>
      <c r="N210" s="224" t="s">
        <v>15957</v>
      </c>
      <c r="O210" s="224" t="s">
        <v>16286</v>
      </c>
      <c r="P210" s="185"/>
      <c r="Q210" s="225" t="s">
        <v>15840</v>
      </c>
      <c r="R210" s="182" t="str">
        <f ca="1">IF(ISERROR($V210),"",OFFSET('Smelter Look-up'!$C$4,$V210-4,0)&amp;"")</f>
        <v/>
      </c>
      <c r="S210" s="181" t="str">
        <f t="shared" ca="1" si="29"/>
        <v>CN</v>
      </c>
      <c r="T210" s="181" t="str">
        <f ca="1">IF(B210="","",IF(ISERROR(MATCH($J210,SorP!$B$1:$B$6226,0)),"",INDIRECT("'SorP'!$A$"&amp;MATCH($S210&amp;$J210,SorP!C:C,0))))</f>
        <v>CN-HN</v>
      </c>
      <c r="U210" s="201"/>
      <c r="V210" s="226" t="e">
        <f>IF(C210="",NA(),IF(OR(C210="Smelter not listed",C210="Smelter not yet identified"),MATCH($B210&amp;$D210,'Smelter Look-up'!$J:$J,0),MATCH($B210&amp;$C210,'Smelter Look-up'!$J:$J,0)))</f>
        <v>#N/A</v>
      </c>
      <c r="X210" s="227">
        <f t="shared" si="30"/>
        <v>0</v>
      </c>
      <c r="AB210" s="228" t="str">
        <f t="shared" si="31"/>
        <v>TantalumChangsha South Tantalum Niobium Co., Ltd.</v>
      </c>
    </row>
    <row r="211" spans="1:28" s="227" customFormat="1" ht="27">
      <c r="A211" s="181"/>
      <c r="B211" s="182" t="s">
        <v>1099</v>
      </c>
      <c r="C211" s="186" t="s">
        <v>14960</v>
      </c>
      <c r="D211" s="230" t="s">
        <v>14960</v>
      </c>
      <c r="E211" s="182" t="s">
        <v>1065</v>
      </c>
      <c r="F211" s="182" t="s">
        <v>14961</v>
      </c>
      <c r="G211" s="182" t="s">
        <v>13177</v>
      </c>
      <c r="H211" s="183" t="s">
        <v>16287</v>
      </c>
      <c r="I211" s="184" t="s">
        <v>14987</v>
      </c>
      <c r="J211" s="184" t="s">
        <v>1640</v>
      </c>
      <c r="K211" s="224"/>
      <c r="L211" s="224"/>
      <c r="M211" s="224"/>
      <c r="N211" s="224" t="s">
        <v>12533</v>
      </c>
      <c r="O211" s="224" t="s">
        <v>15919</v>
      </c>
      <c r="P211" s="185"/>
      <c r="Q211" s="225" t="s">
        <v>15840</v>
      </c>
      <c r="R211" s="182" t="str">
        <f ca="1">IF(ISERROR($V211),"",OFFSET('Smelter Look-up'!$C$4,$V211-4,0)&amp;"")</f>
        <v>Fabrica Auricchio Industria e Comercio Ltda.</v>
      </c>
      <c r="S211" s="181" t="str">
        <f t="shared" ca="1" si="29"/>
        <v>BR</v>
      </c>
      <c r="T211" s="181" t="str">
        <f ca="1">IF(B211="","",IF(ISERROR(MATCH($J211,SorP!$B$1:$B$6226,0)),"",INDIRECT("'SorP'!$A$"&amp;MATCH($S211&amp;$J211,SorP!C:C,0))))</f>
        <v>BR-SP</v>
      </c>
      <c r="U211" s="201"/>
      <c r="V211" s="226">
        <f>IF(C211="",NA(),IF(OR(C211="Smelter not listed",C211="Smelter not yet identified"),MATCH($B211&amp;$D211,'Smelter Look-up'!$J:$J,0),MATCH($B211&amp;$C211,'Smelter Look-up'!$J:$J,0)))</f>
        <v>436</v>
      </c>
      <c r="X211" s="227">
        <f t="shared" si="30"/>
        <v>0</v>
      </c>
      <c r="AB211" s="228" t="str">
        <f t="shared" si="31"/>
        <v>TinFabrica Auricchio Industria e Comercio Ltda.</v>
      </c>
    </row>
    <row r="212" spans="1:28" s="227" customFormat="1" ht="20">
      <c r="A212" s="181"/>
      <c r="B212" s="182" t="s">
        <v>1099</v>
      </c>
      <c r="C212" s="186" t="s">
        <v>14957</v>
      </c>
      <c r="D212" s="230" t="s">
        <v>14957</v>
      </c>
      <c r="E212" s="182" t="s">
        <v>1071</v>
      </c>
      <c r="F212" s="182" t="s">
        <v>14958</v>
      </c>
      <c r="G212" s="182" t="s">
        <v>13177</v>
      </c>
      <c r="H212" s="183" t="s">
        <v>16288</v>
      </c>
      <c r="I212" s="184" t="s">
        <v>3602</v>
      </c>
      <c r="J212" s="184" t="s">
        <v>3602</v>
      </c>
      <c r="K212" s="224"/>
      <c r="L212" s="224"/>
      <c r="M212" s="224"/>
      <c r="N212" s="224" t="s">
        <v>15861</v>
      </c>
      <c r="O212" s="224" t="s">
        <v>15919</v>
      </c>
      <c r="P212" s="185"/>
      <c r="Q212" s="225" t="s">
        <v>15840</v>
      </c>
      <c r="R212" s="182" t="str">
        <f ca="1">IF(ISERROR($V212),"",OFFSET('Smelter Look-up'!$C$4,$V212-4,0)&amp;"")</f>
        <v>CRM Synergies</v>
      </c>
      <c r="S212" s="181" t="str">
        <f t="shared" ca="1" si="29"/>
        <v>ES</v>
      </c>
      <c r="T212" s="181" t="str">
        <f ca="1">IF(B212="","",IF(ISERROR(MATCH($J212,SorP!$B$1:$B$6226,0)),"",INDIRECT("'SorP'!$A$"&amp;MATCH($S212&amp;$J212,SorP!C:C,0))))</f>
        <v>ES-TO</v>
      </c>
      <c r="U212" s="201"/>
      <c r="V212" s="226">
        <f>IF(C212="",NA(),IF(OR(C212="Smelter not listed",C212="Smelter not yet identified"),MATCH($B212&amp;$D212,'Smelter Look-up'!$J:$J,0),MATCH($B212&amp;$C212,'Smelter Look-up'!$J:$J,0)))</f>
        <v>419</v>
      </c>
      <c r="X212" s="227">
        <f t="shared" si="30"/>
        <v>0</v>
      </c>
      <c r="AB212" s="228" t="str">
        <f t="shared" si="31"/>
        <v>TinCRM Synergies</v>
      </c>
    </row>
    <row r="213" spans="1:28" s="227" customFormat="1" ht="40.5">
      <c r="A213" s="181"/>
      <c r="B213" s="182" t="s">
        <v>1099</v>
      </c>
      <c r="C213" s="186" t="s">
        <v>14954</v>
      </c>
      <c r="D213" s="230" t="s">
        <v>14954</v>
      </c>
      <c r="E213" s="182" t="s">
        <v>1065</v>
      </c>
      <c r="F213" s="182" t="s">
        <v>14955</v>
      </c>
      <c r="G213" s="182" t="s">
        <v>13177</v>
      </c>
      <c r="H213" s="183" t="s">
        <v>16289</v>
      </c>
      <c r="I213" s="184" t="s">
        <v>14985</v>
      </c>
      <c r="J213" s="184" t="s">
        <v>3412</v>
      </c>
      <c r="K213" s="224"/>
      <c r="L213" s="224"/>
      <c r="M213" s="224"/>
      <c r="N213" s="224">
        <v>-2146826246</v>
      </c>
      <c r="O213" s="224" t="s">
        <v>15842</v>
      </c>
      <c r="P213" s="185"/>
      <c r="Q213" s="225" t="s">
        <v>15840</v>
      </c>
      <c r="R213" s="182" t="str">
        <f ca="1">IF(ISERROR($V213),"",OFFSET('Smelter Look-up'!$C$4,$V213-4,0)&amp;"")</f>
        <v>CRM Fundicao De Metais E Comercio De Equipamentos Eletronicos Do Brasil Ltda</v>
      </c>
      <c r="S213" s="181" t="str">
        <f t="shared" ca="1" si="29"/>
        <v>BR</v>
      </c>
      <c r="T213" s="181" t="str">
        <f ca="1">IF(B213="","",IF(ISERROR(MATCH($J213,SorP!$B$1:$B$6226,0)),"",INDIRECT("'SorP'!$A$"&amp;MATCH($S213&amp;$J213,SorP!C:C,0))))</f>
        <v>BR-SC</v>
      </c>
      <c r="U213" s="201"/>
      <c r="V213" s="226">
        <f>IF(C213="",NA(),IF(OR(C213="Smelter not listed",C213="Smelter not yet identified"),MATCH($B213&amp;$D213,'Smelter Look-up'!$J:$J,0),MATCH($B213&amp;$C213,'Smelter Look-up'!$J:$J,0)))</f>
        <v>417</v>
      </c>
      <c r="X213" s="227">
        <f t="shared" si="30"/>
        <v>0</v>
      </c>
      <c r="AB213" s="228" t="str">
        <f t="shared" si="31"/>
        <v>TinCRM Fundicao De Metais E Comercio De Equipamentos Eletronicos Do Brasil Ltda</v>
      </c>
    </row>
    <row r="214" spans="1:28" s="227" customFormat="1" ht="27">
      <c r="A214" s="181"/>
      <c r="B214" s="182" t="s">
        <v>1099</v>
      </c>
      <c r="C214" s="186" t="s">
        <v>13761</v>
      </c>
      <c r="D214" s="230" t="s">
        <v>13761</v>
      </c>
      <c r="E214" s="182" t="s">
        <v>1074</v>
      </c>
      <c r="F214" s="182" t="s">
        <v>13775</v>
      </c>
      <c r="G214" s="182" t="s">
        <v>13177</v>
      </c>
      <c r="H214" s="183" t="s">
        <v>16290</v>
      </c>
      <c r="I214" s="184" t="s">
        <v>14989</v>
      </c>
      <c r="J214" s="184" t="s">
        <v>12799</v>
      </c>
      <c r="K214" s="224"/>
      <c r="L214" s="224"/>
      <c r="M214" s="224"/>
      <c r="N214" s="224">
        <v>-2146826246</v>
      </c>
      <c r="O214" s="224" t="s">
        <v>15835</v>
      </c>
      <c r="P214" s="185"/>
      <c r="Q214" s="225" t="s">
        <v>15840</v>
      </c>
      <c r="R214" s="182" t="str">
        <f ca="1">IF(ISERROR($V214),"",OFFSET('Smelter Look-up'!$C$4,$V214-4,0)&amp;"")</f>
        <v>PT Mitra Sukses Globalindo</v>
      </c>
      <c r="S214" s="181" t="str">
        <f t="shared" ca="1" si="29"/>
        <v>ID</v>
      </c>
      <c r="T214" s="181" t="str">
        <f ca="1">IF(B214="","",IF(ISERROR(MATCH($J214,SorP!$B$1:$B$6226,0)),"",INDIRECT("'SorP'!$A$"&amp;MATCH($S214&amp;$J214,SorP!C:C,0))))</f>
        <v>ID-BB</v>
      </c>
      <c r="U214" s="201"/>
      <c r="V214" s="226">
        <f>IF(C214="",NA(),IF(OR(C214="Smelter not listed",C214="Smelter not yet identified"),MATCH($B214&amp;$D214,'Smelter Look-up'!$J:$J,0),MATCH($B214&amp;$C214,'Smelter Look-up'!$J:$J,0)))</f>
        <v>503</v>
      </c>
      <c r="X214" s="227">
        <f t="shared" si="30"/>
        <v>0</v>
      </c>
      <c r="AB214" s="228" t="str">
        <f t="shared" si="31"/>
        <v>TinPT Mitra Sukses Globalindo</v>
      </c>
    </row>
    <row r="215" spans="1:28" s="227" customFormat="1" ht="27">
      <c r="A215" s="181"/>
      <c r="B215" s="182" t="s">
        <v>1099</v>
      </c>
      <c r="C215" s="186" t="s">
        <v>13759</v>
      </c>
      <c r="D215" s="230" t="s">
        <v>13759</v>
      </c>
      <c r="E215" s="182" t="s">
        <v>1069</v>
      </c>
      <c r="F215" s="182" t="s">
        <v>13712</v>
      </c>
      <c r="G215" s="182" t="s">
        <v>13177</v>
      </c>
      <c r="H215" s="183" t="s">
        <v>16291</v>
      </c>
      <c r="I215" s="184" t="s">
        <v>2398</v>
      </c>
      <c r="J215" s="184" t="s">
        <v>13540</v>
      </c>
      <c r="K215" s="224"/>
      <c r="L215" s="224"/>
      <c r="M215" s="224"/>
      <c r="N215" s="224">
        <v>-2146826246</v>
      </c>
      <c r="O215" s="224" t="s">
        <v>15835</v>
      </c>
      <c r="P215" s="185"/>
      <c r="Q215" s="225"/>
      <c r="R215" s="182" t="str">
        <f ca="1">IF(ISERROR($V215),"",OFFSET('Smelter Look-up'!$C$4,$V215-4,0)&amp;"")</f>
        <v>Gejiu City Fuxiang Industry and Trade Co., Ltd.</v>
      </c>
      <c r="S215" s="181" t="str">
        <f t="shared" ca="1" si="29"/>
        <v>CN</v>
      </c>
      <c r="T215" s="181" t="str">
        <f ca="1">IF(B215="","",IF(ISERROR(MATCH($J215,SorP!$B$1:$B$6226,0)),"",INDIRECT("'SorP'!$A$"&amp;MATCH($S215&amp;$J215,SorP!C:C,0))))</f>
        <v>CN-YN</v>
      </c>
      <c r="U215" s="201"/>
      <c r="V215" s="226">
        <f>IF(C215="",NA(),IF(OR(C215="Smelter not listed",C215="Smelter not yet identified"),MATCH($B215&amp;$D215,'Smelter Look-up'!$J:$J,0),MATCH($B215&amp;$C215,'Smelter Look-up'!$J:$J,0)))</f>
        <v>440</v>
      </c>
      <c r="X215" s="227">
        <f t="shared" si="30"/>
        <v>0</v>
      </c>
      <c r="AB215" s="228" t="str">
        <f t="shared" si="31"/>
        <v>TinGejiu City Fuxiang Industry and Trade Co., Ltd.</v>
      </c>
    </row>
    <row r="216" spans="1:28" s="227" customFormat="1" ht="27">
      <c r="A216" s="181"/>
      <c r="B216" s="182" t="s">
        <v>1099</v>
      </c>
      <c r="C216" s="186" t="s">
        <v>13717</v>
      </c>
      <c r="D216" s="230" t="s">
        <v>13717</v>
      </c>
      <c r="E216" s="182" t="s">
        <v>1075</v>
      </c>
      <c r="F216" s="182" t="s">
        <v>13718</v>
      </c>
      <c r="G216" s="182" t="s">
        <v>13177</v>
      </c>
      <c r="H216" s="183" t="s">
        <v>16292</v>
      </c>
      <c r="I216" s="184" t="s">
        <v>13737</v>
      </c>
      <c r="J216" s="184" t="s">
        <v>16293</v>
      </c>
      <c r="K216" s="224"/>
      <c r="L216" s="224"/>
      <c r="M216" s="224"/>
      <c r="N216" s="224">
        <v>-2146826246</v>
      </c>
      <c r="O216" s="224" t="s">
        <v>15835</v>
      </c>
      <c r="P216" s="185"/>
      <c r="Q216" s="225"/>
      <c r="R216" s="182" t="str">
        <f ca="1">IF(ISERROR($V216),"",OFFSET('Smelter Look-up'!$C$4,$V216-4,0)&amp;"")</f>
        <v>Precious Minerals and Smelting Limited</v>
      </c>
      <c r="S216" s="181" t="str">
        <f t="shared" ca="1" si="29"/>
        <v>IN</v>
      </c>
      <c r="T216" s="181" t="str">
        <f ca="1">IF(B216="","",IF(ISERROR(MATCH($J216,SorP!$B$1:$B$6226,0)),"",INDIRECT("'SorP'!$A$"&amp;MATCH($S216&amp;$J216,SorP!C:C,0))))</f>
        <v/>
      </c>
      <c r="U216" s="201"/>
      <c r="V216" s="226">
        <f>IF(C216="",NA(),IF(OR(C216="Smelter not listed",C216="Smelter not yet identified"),MATCH($B216&amp;$D216,'Smelter Look-up'!$J:$J,0),MATCH($B216&amp;$C216,'Smelter Look-up'!$J:$J,0)))</f>
        <v>497</v>
      </c>
      <c r="X216" s="227">
        <f t="shared" si="30"/>
        <v>0</v>
      </c>
      <c r="AB216" s="228" t="str">
        <f t="shared" si="31"/>
        <v>TinPrecious Minerals and Smelting Limited</v>
      </c>
    </row>
    <row r="217" spans="1:28" s="227" customFormat="1" ht="27">
      <c r="A217" s="181"/>
      <c r="B217" s="182" t="s">
        <v>1099</v>
      </c>
      <c r="C217" s="186" t="s">
        <v>13719</v>
      </c>
      <c r="D217" s="230" t="s">
        <v>13719</v>
      </c>
      <c r="E217" s="182" t="s">
        <v>1069</v>
      </c>
      <c r="F217" s="182" t="s">
        <v>13720</v>
      </c>
      <c r="G217" s="182" t="s">
        <v>13177</v>
      </c>
      <c r="H217" s="183" t="s">
        <v>16294</v>
      </c>
      <c r="I217" s="184" t="s">
        <v>2398</v>
      </c>
      <c r="J217" s="184" t="s">
        <v>13540</v>
      </c>
      <c r="K217" s="224"/>
      <c r="L217" s="224"/>
      <c r="M217" s="224"/>
      <c r="N217" s="224">
        <v>-2146826246</v>
      </c>
      <c r="O217" s="224" t="s">
        <v>16295</v>
      </c>
      <c r="P217" s="185"/>
      <c r="Q217" s="225"/>
      <c r="R217" s="182" t="str">
        <f ca="1">IF(ISERROR($V217),"",OFFSET('Smelter Look-up'!$C$4,$V217-4,0)&amp;"")</f>
        <v>Yunnan Yunfan Non-ferrous Metals Co., Ltd.</v>
      </c>
      <c r="S217" s="181" t="str">
        <f t="shared" ca="1" si="29"/>
        <v>CN</v>
      </c>
      <c r="T217" s="181" t="str">
        <f ca="1">IF(B217="","",IF(ISERROR(MATCH($J217,SorP!$B$1:$B$6226,0)),"",INDIRECT("'SorP'!$A$"&amp;MATCH($S217&amp;$J217,SorP!C:C,0))))</f>
        <v>CN-YN</v>
      </c>
      <c r="U217" s="201"/>
      <c r="V217" s="226">
        <f>IF(C217="",NA(),IF(OR(C217="Smelter not listed",C217="Smelter not yet identified"),MATCH($B217&amp;$D217,'Smelter Look-up'!$J:$J,0),MATCH($B217&amp;$C217,'Smelter Look-up'!$J:$J,0)))</f>
        <v>547</v>
      </c>
      <c r="X217" s="227">
        <f t="shared" si="30"/>
        <v>0</v>
      </c>
      <c r="AB217" s="228" t="str">
        <f t="shared" si="31"/>
        <v>TinYunnan Yunfan Non-ferrous Metals Co., Ltd.</v>
      </c>
    </row>
    <row r="218" spans="1:28" s="227" customFormat="1" ht="20">
      <c r="A218" s="181"/>
      <c r="B218" s="182" t="s">
        <v>1099</v>
      </c>
      <c r="C218" s="186" t="s">
        <v>13760</v>
      </c>
      <c r="D218" s="230" t="s">
        <v>13760</v>
      </c>
      <c r="E218" s="182" t="s">
        <v>13050</v>
      </c>
      <c r="F218" s="182" t="s">
        <v>13774</v>
      </c>
      <c r="G218" s="182" t="s">
        <v>13177</v>
      </c>
      <c r="H218" s="183" t="s">
        <v>16296</v>
      </c>
      <c r="I218" s="184" t="s">
        <v>13785</v>
      </c>
      <c r="J218" s="184" t="s">
        <v>10012</v>
      </c>
      <c r="K218" s="224"/>
      <c r="L218" s="224"/>
      <c r="M218" s="224"/>
      <c r="N218" s="224" t="s">
        <v>16297</v>
      </c>
      <c r="O218" s="224" t="s">
        <v>15919</v>
      </c>
      <c r="P218" s="185"/>
      <c r="Q218" s="225" t="s">
        <v>15840</v>
      </c>
      <c r="R218" s="182" t="str">
        <f ca="1">IF(ISERROR($V218),"",OFFSET('Smelter Look-up'!$C$4,$V218-4,0)&amp;"")</f>
        <v>Luna Smelter, Ltd.</v>
      </c>
      <c r="S218" s="181" t="str">
        <f t="shared" ca="1" si="29"/>
        <v>RW</v>
      </c>
      <c r="T218" s="181" t="str">
        <f ca="1">IF(B218="","",IF(ISERROR(MATCH($J218,SorP!$B$1:$B$6226,0)),"",INDIRECT("'SorP'!$A$"&amp;MATCH($S218&amp;$J218,SorP!C:C,0))))</f>
        <v>RW-01</v>
      </c>
      <c r="U218" s="201"/>
      <c r="V218" s="226">
        <f>IF(C218="",NA(),IF(OR(C218="Smelter not listed",C218="Smelter not yet identified"),MATCH($B218&amp;$D218,'Smelter Look-up'!$J:$J,0),MATCH($B218&amp;$C218,'Smelter Look-up'!$J:$J,0)))</f>
        <v>465</v>
      </c>
      <c r="X218" s="227">
        <f t="shared" si="30"/>
        <v>0</v>
      </c>
      <c r="AB218" s="228" t="str">
        <f t="shared" si="31"/>
        <v>TinLuna Smelter, Ltd.</v>
      </c>
    </row>
    <row r="219" spans="1:28" s="227" customFormat="1" ht="20">
      <c r="A219" s="181"/>
      <c r="B219" s="182" t="s">
        <v>1099</v>
      </c>
      <c r="C219" s="186" t="s">
        <v>16298</v>
      </c>
      <c r="D219" s="230" t="s">
        <v>16298</v>
      </c>
      <c r="E219" s="182" t="s">
        <v>1074</v>
      </c>
      <c r="F219" s="182" t="s">
        <v>16299</v>
      </c>
      <c r="G219" s="182" t="s">
        <v>13177</v>
      </c>
      <c r="H219" s="183" t="s">
        <v>16300</v>
      </c>
      <c r="I219" s="184" t="s">
        <v>16301</v>
      </c>
      <c r="J219" s="184" t="s">
        <v>16302</v>
      </c>
      <c r="K219" s="224"/>
      <c r="L219" s="224"/>
      <c r="M219" s="224"/>
      <c r="N219" s="224" t="s">
        <v>12533</v>
      </c>
      <c r="O219" s="224" t="s">
        <v>15919</v>
      </c>
      <c r="P219" s="185"/>
      <c r="Q219" s="225" t="s">
        <v>15840</v>
      </c>
      <c r="R219" s="182" t="str">
        <f ca="1">IF(ISERROR($V219),"",OFFSET('Smelter Look-up'!$C$4,$V219-4,0)&amp;"")</f>
        <v/>
      </c>
      <c r="S219" s="181" t="str">
        <f t="shared" ca="1" si="29"/>
        <v>ID</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si="30"/>
        <v>0</v>
      </c>
      <c r="AB219" s="228" t="str">
        <f t="shared" si="31"/>
        <v>TinPT Rajawali Rimba Perkasa</v>
      </c>
    </row>
    <row r="220" spans="1:28" s="227" customFormat="1" ht="27">
      <c r="A220" s="181"/>
      <c r="B220" s="182" t="s">
        <v>1099</v>
      </c>
      <c r="C220" s="186" t="s">
        <v>13709</v>
      </c>
      <c r="D220" s="230" t="s">
        <v>13709</v>
      </c>
      <c r="E220" s="182" t="s">
        <v>1069</v>
      </c>
      <c r="F220" s="182" t="s">
        <v>13710</v>
      </c>
      <c r="G220" s="182" t="s">
        <v>13177</v>
      </c>
      <c r="H220" s="183" t="s">
        <v>16303</v>
      </c>
      <c r="I220" s="184" t="s">
        <v>13736</v>
      </c>
      <c r="J220" s="184" t="s">
        <v>13536</v>
      </c>
      <c r="K220" s="224"/>
      <c r="L220" s="224"/>
      <c r="M220" s="224"/>
      <c r="N220" s="224">
        <v>-2146826246</v>
      </c>
      <c r="O220" s="224" t="s">
        <v>15835</v>
      </c>
      <c r="P220" s="185"/>
      <c r="Q220" s="225"/>
      <c r="R220" s="182" t="str">
        <f ca="1">IF(ISERROR($V220),"",OFFSET('Smelter Look-up'!$C$4,$V220-4,0)&amp;"")</f>
        <v>Dongguan CiEXPO Environmental Engineering Co., Ltd.</v>
      </c>
      <c r="S220" s="181" t="str">
        <f t="shared" ca="1" si="29"/>
        <v>CN</v>
      </c>
      <c r="T220" s="181" t="str">
        <f ca="1">IF(B220="","",IF(ISERROR(MATCH($J220,SorP!$B$1:$B$6226,0)),"",INDIRECT("'SorP'!$A$"&amp;MATCH($S220&amp;$J220,SorP!C:C,0))))</f>
        <v>CN-GD</v>
      </c>
      <c r="U220" s="201"/>
      <c r="V220" s="226">
        <f>IF(C220="",NA(),IF(OR(C220="Smelter not listed",C220="Smelter not yet identified"),MATCH($B220&amp;$D220,'Smelter Look-up'!$J:$J,0),MATCH($B220&amp;$C220,'Smelter Look-up'!$J:$J,0)))</f>
        <v>423</v>
      </c>
      <c r="X220" s="227">
        <f t="shared" si="30"/>
        <v>0</v>
      </c>
      <c r="AB220" s="228" t="str">
        <f t="shared" si="31"/>
        <v>TinDongguan CiEXPO Environmental Engineering Co., Ltd.</v>
      </c>
    </row>
    <row r="221" spans="1:28" s="227" customFormat="1" ht="27">
      <c r="A221" s="181"/>
      <c r="B221" s="182" t="s">
        <v>1099</v>
      </c>
      <c r="C221" s="186" t="s">
        <v>13121</v>
      </c>
      <c r="D221" s="230" t="s">
        <v>13121</v>
      </c>
      <c r="E221" s="182" t="s">
        <v>2384</v>
      </c>
      <c r="F221" s="182" t="s">
        <v>13122</v>
      </c>
      <c r="G221" s="182" t="s">
        <v>13177</v>
      </c>
      <c r="H221" s="183" t="s">
        <v>16304</v>
      </c>
      <c r="I221" s="184" t="s">
        <v>13123</v>
      </c>
      <c r="J221" s="184" t="s">
        <v>1699</v>
      </c>
      <c r="K221" s="224"/>
      <c r="L221" s="224"/>
      <c r="M221" s="224"/>
      <c r="N221" s="224" t="s">
        <v>15876</v>
      </c>
      <c r="O221" s="224" t="s">
        <v>16305</v>
      </c>
      <c r="P221" s="185"/>
      <c r="Q221" s="225" t="s">
        <v>15840</v>
      </c>
      <c r="R221" s="182" t="str">
        <f ca="1">IF(ISERROR($V221),"",OFFSET('Smelter Look-up'!$C$4,$V221-4,0)&amp;"")</f>
        <v>Tin Technology &amp; Refining</v>
      </c>
      <c r="S221" s="181" t="str">
        <f t="shared" ca="1" si="29"/>
        <v>US</v>
      </c>
      <c r="T221" s="181" t="str">
        <f ca="1">IF(B221="","",IF(ISERROR(MATCH($J221,SorP!$B$1:$B$6226,0)),"",INDIRECT("'SorP'!$A$"&amp;MATCH($S221&amp;$J221,SorP!C:C,0))))</f>
        <v>US-PA</v>
      </c>
      <c r="U221" s="201"/>
      <c r="V221" s="226">
        <f>IF(C221="",NA(),IF(OR(C221="Smelter not listed",C221="Smelter not yet identified"),MATCH($B221&amp;$D221,'Smelter Look-up'!$J:$J,0),MATCH($B221&amp;$C221,'Smelter Look-up'!$J:$J,0)))</f>
        <v>525</v>
      </c>
      <c r="X221" s="227">
        <f t="shared" si="30"/>
        <v>0</v>
      </c>
      <c r="AB221" s="228" t="str">
        <f t="shared" si="31"/>
        <v>TinTin Technology &amp; Refining</v>
      </c>
    </row>
    <row r="222" spans="1:28" s="227" customFormat="1" ht="94.5">
      <c r="A222" s="181"/>
      <c r="B222" s="182" t="s">
        <v>1099</v>
      </c>
      <c r="C222" s="186" t="s">
        <v>12881</v>
      </c>
      <c r="D222" s="230" t="s">
        <v>12881</v>
      </c>
      <c r="E222" s="182" t="s">
        <v>1083</v>
      </c>
      <c r="F222" s="182" t="s">
        <v>12882</v>
      </c>
      <c r="G222" s="182" t="s">
        <v>13177</v>
      </c>
      <c r="H222" s="183" t="s">
        <v>16306</v>
      </c>
      <c r="I222" s="184" t="s">
        <v>8210</v>
      </c>
      <c r="J222" s="184" t="s">
        <v>8210</v>
      </c>
      <c r="K222" s="224"/>
      <c r="L222" s="224"/>
      <c r="M222" s="224"/>
      <c r="N222" s="224">
        <v>-2146826246</v>
      </c>
      <c r="O222" s="224" t="s">
        <v>16307</v>
      </c>
      <c r="P222" s="185"/>
      <c r="Q222" s="225"/>
      <c r="R222" s="182" t="str">
        <f ca="1">IF(ISERROR($V222),"",OFFSET('Smelter Look-up'!$C$4,$V222-4,0)&amp;"")</f>
        <v>Pongpipat Company Limited</v>
      </c>
      <c r="S222" s="181" t="str">
        <f t="shared" ca="1" si="29"/>
        <v>MM</v>
      </c>
      <c r="T222" s="181" t="str">
        <f ca="1">IF(B222="","",IF(ISERROR(MATCH($J222,SorP!$B$1:$B$6226,0)),"",INDIRECT("'SorP'!$A$"&amp;MATCH($S222&amp;$J222,SorP!C:C,0))))</f>
        <v>MM-06</v>
      </c>
      <c r="U222" s="201"/>
      <c r="V222" s="226">
        <f>IF(C222="",NA(),IF(OR(C222="Smelter not listed",C222="Smelter not yet identified"),MATCH($B222&amp;$D222,'Smelter Look-up'!$J:$J,0),MATCH($B222&amp;$C222,'Smelter Look-up'!$J:$J,0)))</f>
        <v>496</v>
      </c>
      <c r="X222" s="227">
        <f t="shared" si="30"/>
        <v>0</v>
      </c>
      <c r="AB222" s="228" t="str">
        <f t="shared" si="31"/>
        <v>TinPongpipat Company Limited</v>
      </c>
    </row>
    <row r="223" spans="1:28" s="227" customFormat="1" ht="216">
      <c r="A223" s="181"/>
      <c r="B223" s="182" t="s">
        <v>1099</v>
      </c>
      <c r="C223" s="186" t="s">
        <v>16308</v>
      </c>
      <c r="D223" s="230" t="s">
        <v>16308</v>
      </c>
      <c r="E223" s="182" t="s">
        <v>1074</v>
      </c>
      <c r="F223" s="182" t="s">
        <v>16309</v>
      </c>
      <c r="G223" s="182" t="s">
        <v>13177</v>
      </c>
      <c r="H223" s="183" t="s">
        <v>16310</v>
      </c>
      <c r="I223" s="184" t="s">
        <v>14989</v>
      </c>
      <c r="J223" s="184" t="s">
        <v>12799</v>
      </c>
      <c r="K223" s="224"/>
      <c r="L223" s="224"/>
      <c r="M223" s="224"/>
      <c r="N223" s="224" t="s">
        <v>16254</v>
      </c>
      <c r="O223" s="224" t="s">
        <v>16311</v>
      </c>
      <c r="P223" s="185"/>
      <c r="Q223" s="225" t="s">
        <v>15840</v>
      </c>
      <c r="R223" s="182" t="str">
        <f ca="1">IF(ISERROR($V223),"",OFFSET('Smelter Look-up'!$C$4,$V223-4,0)&amp;"")</f>
        <v/>
      </c>
      <c r="S223" s="181" t="str">
        <f t="shared" ca="1" si="29"/>
        <v>ID</v>
      </c>
      <c r="T223" s="181" t="str">
        <f ca="1">IF(B223="","",IF(ISERROR(MATCH($J223,SorP!$B$1:$B$6226,0)),"",INDIRECT("'SorP'!$A$"&amp;MATCH($S223&amp;$J223,SorP!C:C,0))))</f>
        <v>ID-BB</v>
      </c>
      <c r="U223" s="201"/>
      <c r="V223" s="226" t="e">
        <f>IF(C223="",NA(),IF(OR(C223="Smelter not listed",C223="Smelter not yet identified"),MATCH($B223&amp;$D223,'Smelter Look-up'!$J:$J,0),MATCH($B223&amp;$C223,'Smelter Look-up'!$J:$J,0)))</f>
        <v>#N/A</v>
      </c>
      <c r="X223" s="227">
        <f t="shared" si="30"/>
        <v>0</v>
      </c>
      <c r="AB223" s="228" t="str">
        <f t="shared" si="31"/>
        <v>TinPT Bangka Serumpun</v>
      </c>
    </row>
    <row r="224" spans="1:28" s="227" customFormat="1" ht="27">
      <c r="A224" s="181"/>
      <c r="B224" s="182" t="s">
        <v>1099</v>
      </c>
      <c r="C224" s="186" t="s">
        <v>12876</v>
      </c>
      <c r="D224" s="230" t="s">
        <v>12876</v>
      </c>
      <c r="E224" s="182" t="s">
        <v>1069</v>
      </c>
      <c r="F224" s="182" t="s">
        <v>12877</v>
      </c>
      <c r="G224" s="182" t="s">
        <v>13177</v>
      </c>
      <c r="H224" s="183" t="s">
        <v>16312</v>
      </c>
      <c r="I224" s="184" t="s">
        <v>12893</v>
      </c>
      <c r="J224" s="184" t="s">
        <v>13514</v>
      </c>
      <c r="K224" s="224"/>
      <c r="L224" s="224"/>
      <c r="M224" s="224"/>
      <c r="N224" s="224" t="s">
        <v>15957</v>
      </c>
      <c r="O224" s="224" t="s">
        <v>16313</v>
      </c>
      <c r="P224" s="185"/>
      <c r="Q224" s="225" t="s">
        <v>15840</v>
      </c>
      <c r="R224" s="182" t="str">
        <f ca="1">IF(ISERROR($V224),"",OFFSET('Smelter Look-up'!$C$4,$V224-4,0)&amp;"")</f>
        <v>Chifeng Dajingzi Tin Industry Co., Ltd.</v>
      </c>
      <c r="S224" s="181" t="str">
        <f t="shared" ca="1" si="29"/>
        <v>CN</v>
      </c>
      <c r="T224" s="181" t="str">
        <f ca="1">IF(B224="","",IF(ISERROR(MATCH($J224,SorP!$B$1:$B$6226,0)),"",INDIRECT("'SorP'!$A$"&amp;MATCH($S224&amp;$J224,SorP!C:C,0))))</f>
        <v>CN-NM</v>
      </c>
      <c r="U224" s="201"/>
      <c r="V224" s="226">
        <f>IF(C224="",NA(),IF(OR(C224="Smelter not listed",C224="Smelter not yet identified"),MATCH($B224&amp;$D224,'Smelter Look-up'!$J:$J,0),MATCH($B224&amp;$C224,'Smelter Look-up'!$J:$J,0)))</f>
        <v>409</v>
      </c>
      <c r="X224" s="227">
        <f t="shared" si="30"/>
        <v>0</v>
      </c>
      <c r="AB224" s="228" t="str">
        <f t="shared" si="31"/>
        <v>TinChifeng Dajingzi Tin Industry Co., Ltd.</v>
      </c>
    </row>
    <row r="225" spans="1:28" s="227" customFormat="1" ht="40.5">
      <c r="A225" s="181"/>
      <c r="B225" s="182" t="s">
        <v>1099</v>
      </c>
      <c r="C225" s="186" t="s">
        <v>2480</v>
      </c>
      <c r="D225" s="230" t="s">
        <v>2480</v>
      </c>
      <c r="E225" s="182" t="s">
        <v>1069</v>
      </c>
      <c r="F225" s="182" t="s">
        <v>2481</v>
      </c>
      <c r="G225" s="182" t="s">
        <v>13177</v>
      </c>
      <c r="H225" s="183" t="s">
        <v>16314</v>
      </c>
      <c r="I225" s="184" t="s">
        <v>1781</v>
      </c>
      <c r="J225" s="184" t="s">
        <v>13536</v>
      </c>
      <c r="K225" s="224"/>
      <c r="L225" s="224"/>
      <c r="M225" s="224"/>
      <c r="N225" s="224" t="s">
        <v>15876</v>
      </c>
      <c r="O225" s="224" t="s">
        <v>16315</v>
      </c>
      <c r="P225" s="185"/>
      <c r="Q225" s="225" t="s">
        <v>15840</v>
      </c>
      <c r="R225" s="182" t="str">
        <f ca="1">IF(ISERROR($V225),"",OFFSET('Smelter Look-up'!$C$4,$V225-4,0)&amp;"")</f>
        <v>Guangdong Hanhe Non-Ferrous Metal Co., Ltd.</v>
      </c>
      <c r="S225" s="181" t="str">
        <f t="shared" ca="1" si="29"/>
        <v>CN</v>
      </c>
      <c r="T225" s="181" t="str">
        <f ca="1">IF(B225="","",IF(ISERROR(MATCH($J225,SorP!$B$1:$B$6226,0)),"",INDIRECT("'SorP'!$A$"&amp;MATCH($S225&amp;$J225,SorP!C:C,0))))</f>
        <v>CN-GD</v>
      </c>
      <c r="U225" s="201"/>
      <c r="V225" s="226">
        <f>IF(C225="",NA(),IF(OR(C225="Smelter not listed",C225="Smelter not yet identified"),MATCH($B225&amp;$D225,'Smelter Look-up'!$J:$J,0),MATCH($B225&amp;$C225,'Smelter Look-up'!$J:$J,0)))</f>
        <v>450</v>
      </c>
      <c r="X225" s="227">
        <f t="shared" si="30"/>
        <v>0</v>
      </c>
      <c r="AB225" s="228" t="str">
        <f t="shared" si="31"/>
        <v>TinGuangdong Hanhe Non-Ferrous Metal Co., Ltd.</v>
      </c>
    </row>
    <row r="226" spans="1:28" s="227" customFormat="1" ht="27">
      <c r="A226" s="181"/>
      <c r="B226" s="182" t="s">
        <v>1099</v>
      </c>
      <c r="C226" s="186" t="s">
        <v>2262</v>
      </c>
      <c r="D226" s="230" t="s">
        <v>2262</v>
      </c>
      <c r="E226" s="182" t="s">
        <v>1084</v>
      </c>
      <c r="F226" s="182" t="s">
        <v>2296</v>
      </c>
      <c r="G226" s="182" t="s">
        <v>13177</v>
      </c>
      <c r="H226" s="183" t="s">
        <v>16316</v>
      </c>
      <c r="I226" s="184" t="s">
        <v>2299</v>
      </c>
      <c r="J226" s="184" t="s">
        <v>2300</v>
      </c>
      <c r="K226" s="224"/>
      <c r="L226" s="224"/>
      <c r="M226" s="224"/>
      <c r="N226" s="224">
        <v>-2146826246</v>
      </c>
      <c r="O226" s="224" t="s">
        <v>16317</v>
      </c>
      <c r="P226" s="185"/>
      <c r="Q226" s="225"/>
      <c r="R226" s="182" t="str">
        <f ca="1">IF(ISERROR($V226),"",OFFSET('Smelter Look-up'!$C$4,$V226-4,0)&amp;"")</f>
        <v>Modeltech Sdn Bhd</v>
      </c>
      <c r="S226" s="181" t="str">
        <f t="shared" ca="1" si="29"/>
        <v>MY</v>
      </c>
      <c r="T226" s="181" t="str">
        <f ca="1">IF(B226="","",IF(ISERROR(MATCH($J226,SorP!$B$1:$B$6226,0)),"",INDIRECT("'SorP'!$A$"&amp;MATCH($S226&amp;$J226,SorP!C:C,0))))</f>
        <v>MY-04</v>
      </c>
      <c r="U226" s="201"/>
      <c r="V226" s="226">
        <f>IF(C226="",NA(),IF(OR(C226="Smelter not listed",C226="Smelter not yet identified"),MATCH($B226&amp;$D226,'Smelter Look-up'!$J:$J,0),MATCH($B226&amp;$C226,'Smelter Look-up'!$J:$J,0)))</f>
        <v>483</v>
      </c>
      <c r="X226" s="227">
        <f t="shared" si="30"/>
        <v>0</v>
      </c>
      <c r="AB226" s="228" t="str">
        <f t="shared" si="31"/>
        <v>TinModeltech Sdn Bhd</v>
      </c>
    </row>
    <row r="227" spans="1:28" s="227" customFormat="1" ht="40.5">
      <c r="A227" s="181"/>
      <c r="B227" s="182" t="s">
        <v>1099</v>
      </c>
      <c r="C227" s="186" t="s">
        <v>16318</v>
      </c>
      <c r="D227" s="230" t="s">
        <v>16318</v>
      </c>
      <c r="E227" s="182" t="s">
        <v>1074</v>
      </c>
      <c r="F227" s="182" t="s">
        <v>16319</v>
      </c>
      <c r="G227" s="182" t="s">
        <v>13177</v>
      </c>
      <c r="H227" s="183" t="s">
        <v>16320</v>
      </c>
      <c r="I227" s="184" t="s">
        <v>16321</v>
      </c>
      <c r="J227" s="184" t="s">
        <v>12799</v>
      </c>
      <c r="K227" s="224"/>
      <c r="L227" s="224"/>
      <c r="M227" s="224"/>
      <c r="N227" s="224" t="s">
        <v>12533</v>
      </c>
      <c r="O227" s="224" t="s">
        <v>16322</v>
      </c>
      <c r="P227" s="185"/>
      <c r="Q227" s="225" t="s">
        <v>15840</v>
      </c>
      <c r="R227" s="182" t="str">
        <f ca="1">IF(ISERROR($V227),"",OFFSET('Smelter Look-up'!$C$4,$V227-4,0)&amp;"")</f>
        <v/>
      </c>
      <c r="S227" s="181" t="str">
        <f t="shared" ca="1" si="29"/>
        <v>ID</v>
      </c>
      <c r="T227" s="181" t="str">
        <f ca="1">IF(B227="","",IF(ISERROR(MATCH($J227,SorP!$B$1:$B$6226,0)),"",INDIRECT("'SorP'!$A$"&amp;MATCH($S227&amp;$J227,SorP!C:C,0))))</f>
        <v>ID-BB</v>
      </c>
      <c r="U227" s="201"/>
      <c r="V227" s="226" t="e">
        <f>IF(C227="",NA(),IF(OR(C227="Smelter not listed",C227="Smelter not yet identified"),MATCH($B227&amp;$D227,'Smelter Look-up'!$J:$J,0),MATCH($B227&amp;$C227,'Smelter Look-up'!$J:$J,0)))</f>
        <v>#N/A</v>
      </c>
      <c r="X227" s="227">
        <f t="shared" si="30"/>
        <v>0</v>
      </c>
      <c r="AB227" s="228" t="str">
        <f t="shared" si="31"/>
        <v>TinPT Menara Cipta Mulia</v>
      </c>
    </row>
    <row r="228" spans="1:28" s="227" customFormat="1" ht="27">
      <c r="A228" s="181"/>
      <c r="B228" s="182" t="s">
        <v>1099</v>
      </c>
      <c r="C228" s="186" t="s">
        <v>16323</v>
      </c>
      <c r="D228" s="230" t="s">
        <v>16323</v>
      </c>
      <c r="E228" s="182" t="s">
        <v>1074</v>
      </c>
      <c r="F228" s="182" t="s">
        <v>16324</v>
      </c>
      <c r="G228" s="182" t="s">
        <v>13177</v>
      </c>
      <c r="H228" s="183" t="s">
        <v>16325</v>
      </c>
      <c r="I228" s="184" t="s">
        <v>16326</v>
      </c>
      <c r="J228" s="184" t="s">
        <v>12799</v>
      </c>
      <c r="K228" s="224"/>
      <c r="L228" s="224"/>
      <c r="M228" s="224"/>
      <c r="N228" s="224">
        <v>-2146826246</v>
      </c>
      <c r="O228" s="224" t="s">
        <v>15835</v>
      </c>
      <c r="P228" s="185"/>
      <c r="Q228" s="225" t="s">
        <v>15840</v>
      </c>
      <c r="R228" s="182" t="str">
        <f ca="1">IF(ISERROR($V228),"",OFFSET('Smelter Look-up'!$C$4,$V228-4,0)&amp;"")</f>
        <v/>
      </c>
      <c r="S228" s="181" t="str">
        <f t="shared" ca="1" si="29"/>
        <v>ID</v>
      </c>
      <c r="T228" s="181" t="str">
        <f ca="1">IF(B228="","",IF(ISERROR(MATCH($J228,SorP!$B$1:$B$6226,0)),"",INDIRECT("'SorP'!$A$"&amp;MATCH($S228&amp;$J228,SorP!C:C,0))))</f>
        <v>ID-BB</v>
      </c>
      <c r="U228" s="201"/>
      <c r="V228" s="226" t="e">
        <f>IF(C228="",NA(),IF(OR(C228="Smelter not listed",C228="Smelter not yet identified"),MATCH($B228&amp;$D228,'Smelter Look-up'!$J:$J,0),MATCH($B228&amp;$C228,'Smelter Look-up'!$J:$J,0)))</f>
        <v>#N/A</v>
      </c>
      <c r="X228" s="227">
        <f t="shared" si="30"/>
        <v>0</v>
      </c>
      <c r="AB228" s="228" t="str">
        <f t="shared" si="31"/>
        <v>TinPT Sukses Inti Makmur</v>
      </c>
    </row>
    <row r="229" spans="1:28" s="227" customFormat="1" ht="216">
      <c r="A229" s="181"/>
      <c r="B229" s="182" t="s">
        <v>1099</v>
      </c>
      <c r="C229" s="186" t="s">
        <v>12880</v>
      </c>
      <c r="D229" s="230" t="s">
        <v>12880</v>
      </c>
      <c r="E229" s="182" t="s">
        <v>1071</v>
      </c>
      <c r="F229" s="182" t="s">
        <v>1774</v>
      </c>
      <c r="G229" s="182" t="s">
        <v>13177</v>
      </c>
      <c r="H229" s="183" t="s">
        <v>16327</v>
      </c>
      <c r="I229" s="184" t="s">
        <v>1775</v>
      </c>
      <c r="J229" s="184" t="s">
        <v>12359</v>
      </c>
      <c r="K229" s="224"/>
      <c r="L229" s="224"/>
      <c r="M229" s="224"/>
      <c r="N229" s="224" t="s">
        <v>15876</v>
      </c>
      <c r="O229" s="224" t="s">
        <v>16328</v>
      </c>
      <c r="P229" s="185"/>
      <c r="Q229" s="225" t="s">
        <v>15840</v>
      </c>
      <c r="R229" s="182" t="str">
        <f ca="1">IF(ISERROR($V229),"",OFFSET('Smelter Look-up'!$C$4,$V229-4,0)&amp;"")</f>
        <v>Aurubis Berango</v>
      </c>
      <c r="S229" s="181" t="str">
        <f t="shared" ca="1" si="29"/>
        <v>ES</v>
      </c>
      <c r="T229" s="181" t="str">
        <f ca="1">IF(B229="","",IF(ISERROR(MATCH($J229,SorP!$B$1:$B$6226,0)),"",INDIRECT("'SorP'!$A$"&amp;MATCH($S229&amp;$J229,SorP!C:C,0))))</f>
        <v>ES-BI</v>
      </c>
      <c r="U229" s="201"/>
      <c r="V229" s="226">
        <f>IF(C229="",NA(),IF(OR(C229="Smelter not listed",C229="Smelter not yet identified"),MATCH($B229&amp;$D229,'Smelter Look-up'!$J:$J,0),MATCH($B229&amp;$C229,'Smelter Look-up'!$J:$J,0)))</f>
        <v>475</v>
      </c>
      <c r="X229" s="227">
        <f t="shared" si="30"/>
        <v>0</v>
      </c>
      <c r="AB229" s="228" t="str">
        <f t="shared" si="31"/>
        <v>TinMetallo Spain S.L.U.</v>
      </c>
    </row>
    <row r="230" spans="1:28" s="227" customFormat="1" ht="229.5">
      <c r="A230" s="181"/>
      <c r="B230" s="182" t="s">
        <v>1099</v>
      </c>
      <c r="C230" s="186" t="s">
        <v>12879</v>
      </c>
      <c r="D230" s="230" t="s">
        <v>12879</v>
      </c>
      <c r="E230" s="182" t="s">
        <v>1064</v>
      </c>
      <c r="F230" s="182" t="s">
        <v>1772</v>
      </c>
      <c r="G230" s="182" t="s">
        <v>13177</v>
      </c>
      <c r="H230" s="183" t="s">
        <v>16329</v>
      </c>
      <c r="I230" s="184" t="s">
        <v>1773</v>
      </c>
      <c r="J230" s="184" t="s">
        <v>3104</v>
      </c>
      <c r="K230" s="224"/>
      <c r="L230" s="224"/>
      <c r="M230" s="224"/>
      <c r="N230" s="224" t="s">
        <v>16330</v>
      </c>
      <c r="O230" s="224" t="s">
        <v>16331</v>
      </c>
      <c r="P230" s="185"/>
      <c r="Q230" s="225" t="s">
        <v>15840</v>
      </c>
      <c r="R230" s="182" t="str">
        <f ca="1">IF(ISERROR($V230),"",OFFSET('Smelter Look-up'!$C$4,$V230-4,0)&amp;"")</f>
        <v>Aurubis Beerse</v>
      </c>
      <c r="S230" s="181" t="str">
        <f t="shared" ref="S230:S260" ca="1" si="32">IF(B230="","",IF(ISERROR(MATCH($E230,CL,0)),"Unknown",INDIRECT("'C'!$A$"&amp;MATCH($E230,CL,0)+1)))</f>
        <v>BE</v>
      </c>
      <c r="T230" s="181" t="str">
        <f ca="1">IF(B230="","",IF(ISERROR(MATCH($J230,SorP!$B$1:$B$6226,0)),"",INDIRECT("'SorP'!$A$"&amp;MATCH($S230&amp;$J230,SorP!C:C,0))))</f>
        <v>BE-VAN</v>
      </c>
      <c r="U230" s="201"/>
      <c r="V230" s="226">
        <f>IF(C230="",NA(),IF(OR(C230="Smelter not listed",C230="Smelter not yet identified"),MATCH($B230&amp;$D230,'Smelter Look-up'!$J:$J,0),MATCH($B230&amp;$C230,'Smelter Look-up'!$J:$J,0)))</f>
        <v>474</v>
      </c>
      <c r="X230" s="227">
        <f t="shared" ref="X230:X260" si="33">IF(AND(C230="Smelter not listed",OR(LEN(D230)=0,LEN(E230)=0)),1,0)</f>
        <v>0</v>
      </c>
      <c r="AB230" s="228" t="str">
        <f t="shared" ref="AB230:AB260" si="34">B230&amp;C230</f>
        <v>TinMetallo Belgium N.V.</v>
      </c>
    </row>
    <row r="231" spans="1:28" s="227" customFormat="1" ht="20">
      <c r="A231" s="181"/>
      <c r="B231" s="182" t="s">
        <v>1099</v>
      </c>
      <c r="C231" s="186" t="s">
        <v>2482</v>
      </c>
      <c r="D231" s="230" t="s">
        <v>2482</v>
      </c>
      <c r="E231" s="182" t="s">
        <v>1065</v>
      </c>
      <c r="F231" s="182" t="s">
        <v>2483</v>
      </c>
      <c r="G231" s="182" t="s">
        <v>13177</v>
      </c>
      <c r="H231" s="183" t="s">
        <v>16332</v>
      </c>
      <c r="I231" s="184" t="s">
        <v>2491</v>
      </c>
      <c r="J231" s="184" t="s">
        <v>1640</v>
      </c>
      <c r="K231" s="224"/>
      <c r="L231" s="224"/>
      <c r="M231" s="224"/>
      <c r="N231" s="224">
        <v>-2146826246</v>
      </c>
      <c r="O231" s="224" t="s">
        <v>16333</v>
      </c>
      <c r="P231" s="185"/>
      <c r="Q231" s="225"/>
      <c r="R231" s="182" t="str">
        <f ca="1">IF(ISERROR($V231),"",OFFSET('Smelter Look-up'!$C$4,$V231-4,0)&amp;"")</f>
        <v>Super Ligas</v>
      </c>
      <c r="S231" s="181" t="str">
        <f t="shared" ca="1" si="32"/>
        <v>BR</v>
      </c>
      <c r="T231" s="181" t="str">
        <f ca="1">IF(B231="","",IF(ISERROR(MATCH($J231,SorP!$B$1:$B$6226,0)),"",INDIRECT("'SorP'!$A$"&amp;MATCH($S231&amp;$J231,SorP!C:C,0))))</f>
        <v>BR-SP</v>
      </c>
      <c r="U231" s="201"/>
      <c r="V231" s="226">
        <f>IF(C231="",NA(),IF(OR(C231="Smelter not listed",C231="Smelter not yet identified"),MATCH($B231&amp;$D231,'Smelter Look-up'!$J:$J,0),MATCH($B231&amp;$C231,'Smelter Look-up'!$J:$J,0)))</f>
        <v>517</v>
      </c>
      <c r="X231" s="227">
        <f t="shared" si="33"/>
        <v>0</v>
      </c>
      <c r="AB231" s="228" t="str">
        <f t="shared" si="34"/>
        <v>TinSuper Ligas</v>
      </c>
    </row>
    <row r="232" spans="1:28" s="227" customFormat="1" ht="202.5">
      <c r="A232" s="181"/>
      <c r="B232" s="182" t="s">
        <v>1099</v>
      </c>
      <c r="C232" s="186" t="s">
        <v>12381</v>
      </c>
      <c r="D232" s="230" t="s">
        <v>12381</v>
      </c>
      <c r="E232" s="182" t="s">
        <v>1065</v>
      </c>
      <c r="F232" s="182" t="s">
        <v>1771</v>
      </c>
      <c r="G232" s="182" t="s">
        <v>13177</v>
      </c>
      <c r="H232" s="183" t="s">
        <v>16201</v>
      </c>
      <c r="I232" s="184" t="s">
        <v>16202</v>
      </c>
      <c r="J232" s="184" t="s">
        <v>1717</v>
      </c>
      <c r="K232" s="224"/>
      <c r="L232" s="224"/>
      <c r="M232" s="224"/>
      <c r="N232" s="224" t="s">
        <v>12533</v>
      </c>
      <c r="O232" s="224" t="s">
        <v>16334</v>
      </c>
      <c r="P232" s="185"/>
      <c r="Q232" s="225" t="s">
        <v>15840</v>
      </c>
      <c r="R232" s="182" t="str">
        <f ca="1">IF(ISERROR($V232),"",OFFSET('Smelter Look-up'!$C$4,$V232-4,0)&amp;"")</f>
        <v>Resind Industria e Comercio Ltda.</v>
      </c>
      <c r="S232" s="181" t="str">
        <f t="shared" ca="1" si="32"/>
        <v>BR</v>
      </c>
      <c r="T232" s="181" t="str">
        <f ca="1">IF(B232="","",IF(ISERROR(MATCH($J232,SorP!$B$1:$B$6226,0)),"",INDIRECT("'SorP'!$A$"&amp;MATCH($S232&amp;$J232,SorP!C:C,0))))</f>
        <v>BR-MG</v>
      </c>
      <c r="U232" s="201"/>
      <c r="V232" s="226">
        <f>IF(C232="",NA(),IF(OR(C232="Smelter not listed",C232="Smelter not yet identified"),MATCH($B232&amp;$D232,'Smelter Look-up'!$J:$J,0),MATCH($B232&amp;$C232,'Smelter Look-up'!$J:$J,0)))</f>
        <v>512</v>
      </c>
      <c r="X232" s="227">
        <f t="shared" si="33"/>
        <v>0</v>
      </c>
      <c r="AB232" s="228" t="str">
        <f t="shared" si="34"/>
        <v>TinResind Industria e Comercio Ltda.</v>
      </c>
    </row>
    <row r="233" spans="1:28" s="227" customFormat="1" ht="54">
      <c r="A233" s="181"/>
      <c r="B233" s="182" t="s">
        <v>1099</v>
      </c>
      <c r="C233" s="186" t="s">
        <v>2091</v>
      </c>
      <c r="D233" s="230" t="s">
        <v>2091</v>
      </c>
      <c r="E233" s="182" t="s">
        <v>863</v>
      </c>
      <c r="F233" s="182" t="s">
        <v>2092</v>
      </c>
      <c r="G233" s="182" t="s">
        <v>13177</v>
      </c>
      <c r="H233" s="183" t="s">
        <v>16335</v>
      </c>
      <c r="I233" s="184" t="s">
        <v>1767</v>
      </c>
      <c r="J233" s="184" t="s">
        <v>12075</v>
      </c>
      <c r="K233" s="224"/>
      <c r="L233" s="224"/>
      <c r="M233" s="224"/>
      <c r="N233" s="224">
        <v>-2146826246</v>
      </c>
      <c r="O233" s="224" t="s">
        <v>16336</v>
      </c>
      <c r="P233" s="185"/>
      <c r="Q233" s="225"/>
      <c r="R233" s="182" t="str">
        <f ca="1">IF(ISERROR($V233),"",OFFSET('Smelter Look-up'!$C$4,$V233-4,0)&amp;"")</f>
        <v>An Vinh Joint Stock Mineral Processing Company</v>
      </c>
      <c r="S233" s="181" t="str">
        <f t="shared" ca="1" si="32"/>
        <v>VN</v>
      </c>
      <c r="T233" s="181" t="str">
        <f ca="1">IF(B233="","",IF(ISERROR(MATCH($J233,SorP!$B$1:$B$6226,0)),"",INDIRECT("'SorP'!$A$"&amp;MATCH($S233&amp;$J233,SorP!C:C,0))))</f>
        <v>VN-22</v>
      </c>
      <c r="U233" s="201"/>
      <c r="V233" s="226">
        <f>IF(C233="",NA(),IF(OR(C233="Smelter not listed",C233="Smelter not yet identified"),MATCH($B233&amp;$D233,'Smelter Look-up'!$J:$J,0),MATCH($B233&amp;$C233,'Smelter Look-up'!$J:$J,0)))</f>
        <v>403</v>
      </c>
      <c r="X233" s="227">
        <f t="shared" si="33"/>
        <v>0</v>
      </c>
      <c r="AB233" s="228" t="str">
        <f t="shared" si="34"/>
        <v>TinAn Vinh Joint Stock Mineral Processing Company</v>
      </c>
    </row>
    <row r="234" spans="1:28" s="227" customFormat="1" ht="20">
      <c r="A234" s="181"/>
      <c r="B234" s="182" t="s">
        <v>1099</v>
      </c>
      <c r="C234" s="186" t="s">
        <v>15306</v>
      </c>
      <c r="D234" s="230" t="s">
        <v>15306</v>
      </c>
      <c r="E234" s="182" t="s">
        <v>1074</v>
      </c>
      <c r="F234" s="182" t="s">
        <v>15307</v>
      </c>
      <c r="G234" s="182" t="s">
        <v>13177</v>
      </c>
      <c r="H234" s="183" t="s">
        <v>16337</v>
      </c>
      <c r="I234" s="184" t="s">
        <v>15308</v>
      </c>
      <c r="J234" s="184" t="s">
        <v>1748</v>
      </c>
      <c r="K234" s="224"/>
      <c r="L234" s="224"/>
      <c r="M234" s="224"/>
      <c r="N234" s="224">
        <v>-2146826246</v>
      </c>
      <c r="O234" s="224" t="s">
        <v>16317</v>
      </c>
      <c r="P234" s="185"/>
      <c r="Q234" s="225" t="s">
        <v>15840</v>
      </c>
      <c r="R234" s="182" t="str">
        <f ca="1">IF(ISERROR($V234),"",OFFSET('Smelter Look-up'!$C$4,$V234-4,0)&amp;"")</f>
        <v>PT Cipta Persada Mulia</v>
      </c>
      <c r="S234" s="181" t="str">
        <f t="shared" ca="1" si="32"/>
        <v>ID</v>
      </c>
      <c r="T234" s="181" t="str">
        <f ca="1">IF(B234="","",IF(ISERROR(MATCH($J234,SorP!$B$1:$B$6226,0)),"",INDIRECT("'SorP'!$A$"&amp;MATCH($S234&amp;$J234,SorP!C:C,0))))</f>
        <v>ID-KR</v>
      </c>
      <c r="U234" s="201"/>
      <c r="V234" s="226">
        <f>IF(C234="",NA(),IF(OR(C234="Smelter not listed",C234="Smelter not yet identified"),MATCH($B234&amp;$D234,'Smelter Look-up'!$J:$J,0),MATCH($B234&amp;$C234,'Smelter Look-up'!$J:$J,0)))</f>
        <v>501</v>
      </c>
      <c r="X234" s="227">
        <f t="shared" si="33"/>
        <v>0</v>
      </c>
      <c r="AB234" s="228" t="str">
        <f t="shared" si="34"/>
        <v>TinPT Cipta Persada Mulia</v>
      </c>
    </row>
    <row r="235" spans="1:28" s="227" customFormat="1" ht="27">
      <c r="A235" s="181"/>
      <c r="B235" s="182" t="s">
        <v>1099</v>
      </c>
      <c r="C235" s="186" t="s">
        <v>1768</v>
      </c>
      <c r="D235" s="230" t="s">
        <v>1768</v>
      </c>
      <c r="E235" s="182" t="s">
        <v>863</v>
      </c>
      <c r="F235" s="182" t="s">
        <v>1769</v>
      </c>
      <c r="G235" s="182" t="s">
        <v>13177</v>
      </c>
      <c r="H235" s="183" t="s">
        <v>16338</v>
      </c>
      <c r="I235" s="184" t="s">
        <v>1770</v>
      </c>
      <c r="J235" s="184" t="s">
        <v>12103</v>
      </c>
      <c r="K235" s="224"/>
      <c r="L235" s="224"/>
      <c r="M235" s="224"/>
      <c r="N235" s="224">
        <v>-2146826246</v>
      </c>
      <c r="O235" s="224" t="s">
        <v>16339</v>
      </c>
      <c r="P235" s="185"/>
      <c r="Q235" s="225"/>
      <c r="R235" s="182" t="str">
        <f ca="1">IF(ISERROR($V235),"",OFFSET('Smelter Look-up'!$C$4,$V235-4,0)&amp;"")</f>
        <v>Tuyen Quang Non-Ferrous Metals Joint Stock Company</v>
      </c>
      <c r="S235" s="181" t="str">
        <f t="shared" ca="1" si="32"/>
        <v>VN</v>
      </c>
      <c r="T235" s="181" t="str">
        <f ca="1">IF(B235="","",IF(ISERROR(MATCH($J235,SorP!$B$1:$B$6226,0)),"",INDIRECT("'SorP'!$A$"&amp;MATCH($S235&amp;$J235,SorP!C:C,0))))</f>
        <v>VN-07</v>
      </c>
      <c r="U235" s="201"/>
      <c r="V235" s="226">
        <f>IF(C235="",NA(),IF(OR(C235="Smelter not listed",C235="Smelter not yet identified"),MATCH($B235&amp;$D235,'Smelter Look-up'!$J:$J,0),MATCH($B235&amp;$C235,'Smelter Look-up'!$J:$J,0)))</f>
        <v>527</v>
      </c>
      <c r="X235" s="227">
        <f t="shared" si="33"/>
        <v>0</v>
      </c>
      <c r="AB235" s="228" t="str">
        <f t="shared" si="34"/>
        <v>TinTuyen Quang Non-Ferrous Metals Joint Stock Company</v>
      </c>
    </row>
    <row r="236" spans="1:28" s="227" customFormat="1" ht="27">
      <c r="A236" s="181"/>
      <c r="B236" s="182" t="s">
        <v>1099</v>
      </c>
      <c r="C236" s="186" t="s">
        <v>1765</v>
      </c>
      <c r="D236" s="230" t="s">
        <v>1765</v>
      </c>
      <c r="E236" s="182" t="s">
        <v>863</v>
      </c>
      <c r="F236" s="182" t="s">
        <v>1766</v>
      </c>
      <c r="G236" s="182" t="s">
        <v>13177</v>
      </c>
      <c r="H236" s="183" t="s">
        <v>16335</v>
      </c>
      <c r="I236" s="184" t="s">
        <v>1767</v>
      </c>
      <c r="J236" s="184" t="s">
        <v>12075</v>
      </c>
      <c r="K236" s="224"/>
      <c r="L236" s="224"/>
      <c r="M236" s="224"/>
      <c r="N236" s="224">
        <v>-2146826246</v>
      </c>
      <c r="O236" s="224" t="s">
        <v>16340</v>
      </c>
      <c r="P236" s="185"/>
      <c r="Q236" s="225"/>
      <c r="R236" s="182" t="str">
        <f ca="1">IF(ISERROR($V236),"",OFFSET('Smelter Look-up'!$C$4,$V236-4,0)&amp;"")</f>
        <v>Nghe Tinh Non-Ferrous Metals Joint Stock Company</v>
      </c>
      <c r="S236" s="181" t="str">
        <f t="shared" ca="1" si="32"/>
        <v>VN</v>
      </c>
      <c r="T236" s="181" t="str">
        <f ca="1">IF(B236="","",IF(ISERROR(MATCH($J236,SorP!$B$1:$B$6226,0)),"",INDIRECT("'SorP'!$A$"&amp;MATCH($S236&amp;$J236,SorP!C:C,0))))</f>
        <v>VN-22</v>
      </c>
      <c r="U236" s="201"/>
      <c r="V236" s="226">
        <f>IF(C236="",NA(),IF(OR(C236="Smelter not listed",C236="Smelter not yet identified"),MATCH($B236&amp;$D236,'Smelter Look-up'!$J:$J,0),MATCH($B236&amp;$C236,'Smelter Look-up'!$J:$J,0)))</f>
        <v>487</v>
      </c>
      <c r="X236" s="227">
        <f t="shared" si="33"/>
        <v>0</v>
      </c>
      <c r="AB236" s="228" t="str">
        <f t="shared" si="34"/>
        <v>TinNghe Tinh Non-Ferrous Metals Joint Stock Company</v>
      </c>
    </row>
    <row r="237" spans="1:28" s="227" customFormat="1" ht="94.5">
      <c r="A237" s="181"/>
      <c r="B237" s="182" t="s">
        <v>1099</v>
      </c>
      <c r="C237" s="186" t="s">
        <v>1762</v>
      </c>
      <c r="D237" s="230" t="s">
        <v>1762</v>
      </c>
      <c r="E237" s="182" t="s">
        <v>863</v>
      </c>
      <c r="F237" s="182" t="s">
        <v>1763</v>
      </c>
      <c r="G237" s="182" t="s">
        <v>13177</v>
      </c>
      <c r="H237" s="183" t="s">
        <v>16341</v>
      </c>
      <c r="I237" s="184" t="s">
        <v>1764</v>
      </c>
      <c r="J237" s="184" t="s">
        <v>12125</v>
      </c>
      <c r="K237" s="224"/>
      <c r="L237" s="224"/>
      <c r="M237" s="224"/>
      <c r="N237" s="224">
        <v>-2146826246</v>
      </c>
      <c r="O237" s="224" t="s">
        <v>16342</v>
      </c>
      <c r="P237" s="185"/>
      <c r="Q237" s="225"/>
      <c r="R237" s="182" t="str">
        <f ca="1">IF(ISERROR($V237),"",OFFSET('Smelter Look-up'!$C$4,$V237-4,0)&amp;"")</f>
        <v>Electro-Mechanical Facility of the Cao Bang Minerals &amp; Metallurgy Joint Stock Company</v>
      </c>
      <c r="S237" s="181" t="str">
        <f t="shared" ca="1" si="32"/>
        <v>VN</v>
      </c>
      <c r="T237" s="181" t="str">
        <f ca="1">IF(B237="","",IF(ISERROR(MATCH($J237,SorP!$B$1:$B$6226,0)),"",INDIRECT("'SorP'!$A$"&amp;MATCH($S237&amp;$J237,SorP!C:C,0))))</f>
        <v>VN-04</v>
      </c>
      <c r="U237" s="201"/>
      <c r="V237" s="226">
        <f>IF(C237="",NA(),IF(OR(C237="Smelter not listed",C237="Smelter not yet identified"),MATCH($B237&amp;$D237,'Smelter Look-up'!$J:$J,0),MATCH($B237&amp;$C237,'Smelter Look-up'!$J:$J,0)))</f>
        <v>427</v>
      </c>
      <c r="X237" s="227">
        <f t="shared" si="33"/>
        <v>0</v>
      </c>
      <c r="AB237" s="228" t="str">
        <f t="shared" si="34"/>
        <v>TinElectro-Mechanical Facility of the Cao Bang Minerals &amp; Metallurgy Joint Stock Company</v>
      </c>
    </row>
    <row r="238" spans="1:28" s="227" customFormat="1" ht="67.5">
      <c r="A238" s="181"/>
      <c r="B238" s="182" t="s">
        <v>1099</v>
      </c>
      <c r="C238" s="186" t="s">
        <v>1365</v>
      </c>
      <c r="D238" s="230" t="s">
        <v>1365</v>
      </c>
      <c r="E238" s="182" t="s">
        <v>852</v>
      </c>
      <c r="F238" s="182" t="s">
        <v>1366</v>
      </c>
      <c r="G238" s="182" t="s">
        <v>13177</v>
      </c>
      <c r="H238" s="183" t="s">
        <v>16343</v>
      </c>
      <c r="I238" s="184" t="s">
        <v>12887</v>
      </c>
      <c r="J238" s="184" t="s">
        <v>9398</v>
      </c>
      <c r="K238" s="224"/>
      <c r="L238" s="224"/>
      <c r="M238" s="224"/>
      <c r="N238" s="224" t="s">
        <v>15861</v>
      </c>
      <c r="O238" s="224" t="s">
        <v>16344</v>
      </c>
      <c r="P238" s="185"/>
      <c r="Q238" s="225" t="s">
        <v>15840</v>
      </c>
      <c r="R238" s="182" t="str">
        <f ca="1">IF(ISERROR($V238),"",OFFSET('Smelter Look-up'!$C$4,$V238-4,0)&amp;"")</f>
        <v>O.M. Manufacturing Philippines, Inc.</v>
      </c>
      <c r="S238" s="181" t="str">
        <f t="shared" ca="1" si="32"/>
        <v>PH</v>
      </c>
      <c r="T238" s="181" t="str">
        <f ca="1">IF(B238="","",IF(ISERROR(MATCH($J238,SorP!$B$1:$B$6226,0)),"",INDIRECT("'SorP'!$A$"&amp;MATCH($S238&amp;$J238,SorP!C:C,0))))</f>
        <v>PH-CAV</v>
      </c>
      <c r="U238" s="201"/>
      <c r="V238" s="226">
        <f>IF(C238="",NA(),IF(OR(C238="Smelter not listed",C238="Smelter not yet identified"),MATCH($B238&amp;$D238,'Smelter Look-up'!$J:$J,0),MATCH($B238&amp;$C238,'Smelter Look-up'!$J:$J,0)))</f>
        <v>491</v>
      </c>
      <c r="X238" s="227">
        <f t="shared" si="33"/>
        <v>0</v>
      </c>
      <c r="AB238" s="228" t="str">
        <f t="shared" si="34"/>
        <v>TinO.M. Manufacturing Philippines, Inc.</v>
      </c>
    </row>
    <row r="239" spans="1:28" s="227" customFormat="1" ht="202.5">
      <c r="A239" s="181"/>
      <c r="B239" s="182" t="s">
        <v>1099</v>
      </c>
      <c r="C239" s="186" t="s">
        <v>1367</v>
      </c>
      <c r="D239" s="230" t="s">
        <v>1367</v>
      </c>
      <c r="E239" s="182" t="s">
        <v>1074</v>
      </c>
      <c r="F239" s="182" t="s">
        <v>1368</v>
      </c>
      <c r="G239" s="182" t="s">
        <v>13177</v>
      </c>
      <c r="H239" s="183" t="s">
        <v>16345</v>
      </c>
      <c r="I239" s="184" t="s">
        <v>1726</v>
      </c>
      <c r="J239" s="184" t="s">
        <v>12799</v>
      </c>
      <c r="K239" s="224"/>
      <c r="L239" s="224"/>
      <c r="M239" s="224"/>
      <c r="N239" s="224" t="s">
        <v>12533</v>
      </c>
      <c r="O239" s="224" t="s">
        <v>16346</v>
      </c>
      <c r="P239" s="185"/>
      <c r="Q239" s="225" t="s">
        <v>15840</v>
      </c>
      <c r="R239" s="182" t="str">
        <f ca="1">IF(ISERROR($V239),"",OFFSET('Smelter Look-up'!$C$4,$V239-4,0)&amp;"")</f>
        <v>PT ATD Makmur Mandiri Jaya</v>
      </c>
      <c r="S239" s="181" t="str">
        <f t="shared" ca="1" si="32"/>
        <v>ID</v>
      </c>
      <c r="T239" s="181" t="str">
        <f ca="1">IF(B239="","",IF(ISERROR(MATCH($J239,SorP!$B$1:$B$6226,0)),"",INDIRECT("'SorP'!$A$"&amp;MATCH($S239&amp;$J239,SorP!C:C,0))))</f>
        <v>ID-BB</v>
      </c>
      <c r="U239" s="201"/>
      <c r="V239" s="226">
        <f>IF(C239="",NA(),IF(OR(C239="Smelter not listed",C239="Smelter not yet identified"),MATCH($B239&amp;$D239,'Smelter Look-up'!$J:$J,0),MATCH($B239&amp;$C239,'Smelter Look-up'!$J:$J,0)))</f>
        <v>499</v>
      </c>
      <c r="X239" s="227">
        <f t="shared" si="33"/>
        <v>0</v>
      </c>
      <c r="AB239" s="228" t="str">
        <f t="shared" si="34"/>
        <v>TinPT ATD Makmur Mandiri Jaya</v>
      </c>
    </row>
    <row r="240" spans="1:28" s="227" customFormat="1" ht="216">
      <c r="A240" s="181"/>
      <c r="B240" s="182" t="s">
        <v>1099</v>
      </c>
      <c r="C240" s="186" t="s">
        <v>2291</v>
      </c>
      <c r="D240" s="230" t="s">
        <v>2291</v>
      </c>
      <c r="E240" s="182" t="s">
        <v>1065</v>
      </c>
      <c r="F240" s="182" t="s">
        <v>1292</v>
      </c>
      <c r="G240" s="182" t="s">
        <v>13177</v>
      </c>
      <c r="H240" s="183" t="s">
        <v>16347</v>
      </c>
      <c r="I240" s="184" t="s">
        <v>1725</v>
      </c>
      <c r="J240" s="184" t="s">
        <v>1729</v>
      </c>
      <c r="K240" s="224"/>
      <c r="L240" s="224"/>
      <c r="M240" s="224"/>
      <c r="N240" s="224" t="s">
        <v>16254</v>
      </c>
      <c r="O240" s="224" t="s">
        <v>16348</v>
      </c>
      <c r="P240" s="185"/>
      <c r="Q240" s="225"/>
      <c r="R240" s="182" t="str">
        <f ca="1">IF(ISERROR($V240),"",OFFSET('Smelter Look-up'!$C$4,$V240-4,0)&amp;"")</f>
        <v>Melt Metais e Ligas S.A.</v>
      </c>
      <c r="S240" s="181" t="str">
        <f t="shared" ca="1" si="32"/>
        <v>BR</v>
      </c>
      <c r="T240" s="181" t="str">
        <f ca="1">IF(B240="","",IF(ISERROR(MATCH($J240,SorP!$B$1:$B$6226,0)),"",INDIRECT("'SorP'!$A$"&amp;MATCH($S240&amp;$J240,SorP!C:C,0))))</f>
        <v>BR-RO</v>
      </c>
      <c r="U240" s="201"/>
      <c r="V240" s="226">
        <f>IF(C240="",NA(),IF(OR(C240="Smelter not listed",C240="Smelter not yet identified"),MATCH($B240&amp;$D240,'Smelter Look-up'!$J:$J,0),MATCH($B240&amp;$C240,'Smelter Look-up'!$J:$J,0)))</f>
        <v>470</v>
      </c>
      <c r="X240" s="227">
        <f t="shared" si="33"/>
        <v>0</v>
      </c>
      <c r="AB240" s="228" t="str">
        <f t="shared" si="34"/>
        <v>TinMelt Metais e Ligas S.A.</v>
      </c>
    </row>
    <row r="241" spans="1:28" s="227" customFormat="1" ht="27">
      <c r="A241" s="181"/>
      <c r="B241" s="182" t="s">
        <v>1099</v>
      </c>
      <c r="C241" s="186" t="s">
        <v>16349</v>
      </c>
      <c r="D241" s="230" t="s">
        <v>16349</v>
      </c>
      <c r="E241" s="182" t="s">
        <v>1074</v>
      </c>
      <c r="F241" s="182" t="s">
        <v>16350</v>
      </c>
      <c r="G241" s="182" t="s">
        <v>13177</v>
      </c>
      <c r="H241" s="183" t="s">
        <v>16351</v>
      </c>
      <c r="I241" s="184" t="s">
        <v>16352</v>
      </c>
      <c r="J241" s="184" t="s">
        <v>5944</v>
      </c>
      <c r="K241" s="224"/>
      <c r="L241" s="224"/>
      <c r="M241" s="224"/>
      <c r="N241" s="224">
        <v>-2146826246</v>
      </c>
      <c r="O241" s="224" t="s">
        <v>15835</v>
      </c>
      <c r="P241" s="185"/>
      <c r="Q241" s="225"/>
      <c r="R241" s="182" t="str">
        <f ca="1">IF(ISERROR($V241),"",OFFSET('Smelter Look-up'!$C$4,$V241-4,0)&amp;"")</f>
        <v/>
      </c>
      <c r="S241" s="181" t="str">
        <f t="shared" ca="1" si="32"/>
        <v>ID</v>
      </c>
      <c r="T241" s="181" t="str">
        <f ca="1">IF(B241="","",IF(ISERROR(MATCH($J241,SorP!$B$1:$B$6226,0)),"",INDIRECT("'SorP'!$A$"&amp;MATCH($S241&amp;$J241,SorP!C:C,0))))</f>
        <v>ID-JB</v>
      </c>
      <c r="U241" s="201"/>
      <c r="V241" s="226" t="e">
        <f>IF(C241="",NA(),IF(OR(C241="Smelter not listed",C241="Smelter not yet identified"),MATCH($B241&amp;$D241,'Smelter Look-up'!$J:$J,0),MATCH($B241&amp;$C241,'Smelter Look-up'!$J:$J,0)))</f>
        <v>#N/A</v>
      </c>
      <c r="X241" s="227">
        <f t="shared" si="33"/>
        <v>0</v>
      </c>
      <c r="AB241" s="228" t="str">
        <f t="shared" si="34"/>
        <v>TinPT Tirus Putra Mandiri</v>
      </c>
    </row>
    <row r="242" spans="1:28" s="227" customFormat="1" ht="202.5">
      <c r="A242" s="181"/>
      <c r="B242" s="182" t="s">
        <v>1099</v>
      </c>
      <c r="C242" s="186" t="s">
        <v>2121</v>
      </c>
      <c r="D242" s="230" t="s">
        <v>2121</v>
      </c>
      <c r="E242" s="182" t="s">
        <v>1065</v>
      </c>
      <c r="F242" s="182" t="s">
        <v>131</v>
      </c>
      <c r="G242" s="182" t="s">
        <v>13177</v>
      </c>
      <c r="H242" s="183" t="s">
        <v>16353</v>
      </c>
      <c r="I242" s="184" t="s">
        <v>16202</v>
      </c>
      <c r="J242" s="184" t="s">
        <v>1515</v>
      </c>
      <c r="K242" s="224"/>
      <c r="L242" s="224"/>
      <c r="M242" s="224"/>
      <c r="N242" s="224" t="s">
        <v>15957</v>
      </c>
      <c r="O242" s="224" t="s">
        <v>16354</v>
      </c>
      <c r="P242" s="185"/>
      <c r="Q242" s="225" t="s">
        <v>15840</v>
      </c>
      <c r="R242" s="182" t="str">
        <f ca="1">IF(ISERROR($V242),"",OFFSET('Smelter Look-up'!$C$4,$V242-4,0)&amp;"")</f>
        <v>Magnu's Minerais Metais e Ligas Ltda.</v>
      </c>
      <c r="S242" s="181" t="str">
        <f t="shared" ca="1" si="32"/>
        <v>BR</v>
      </c>
      <c r="T242" s="181" t="str">
        <f ca="1">IF(B242="","",IF(ISERROR(MATCH($J242,SorP!$B$1:$B$6226,0)),"",INDIRECT("'SorP'!$A$"&amp;MATCH($S242&amp;$J242,SorP!C:C,0))))</f>
        <v>BR-MG</v>
      </c>
      <c r="U242" s="201"/>
      <c r="V242" s="226">
        <f>IF(C242="",NA(),IF(OR(C242="Smelter not listed",C242="Smelter not yet identified"),MATCH($B242&amp;$D242,'Smelter Look-up'!$J:$J,0),MATCH($B242&amp;$C242,'Smelter Look-up'!$J:$J,0)))</f>
        <v>467</v>
      </c>
      <c r="X242" s="227">
        <f t="shared" si="33"/>
        <v>0</v>
      </c>
      <c r="AB242" s="228" t="str">
        <f t="shared" si="34"/>
        <v>TinMagnu's Minerais Metais e Ligas Ltda.</v>
      </c>
    </row>
    <row r="243" spans="1:28" s="227" customFormat="1" ht="54">
      <c r="A243" s="181"/>
      <c r="B243" s="182" t="s">
        <v>1099</v>
      </c>
      <c r="C243" s="186" t="s">
        <v>16355</v>
      </c>
      <c r="D243" s="230" t="s">
        <v>16355</v>
      </c>
      <c r="E243" s="182" t="s">
        <v>1074</v>
      </c>
      <c r="F243" s="182" t="s">
        <v>16356</v>
      </c>
      <c r="G243" s="182" t="s">
        <v>13177</v>
      </c>
      <c r="H243" s="183" t="s">
        <v>16357</v>
      </c>
      <c r="I243" s="184" t="s">
        <v>14986</v>
      </c>
      <c r="J243" s="184" t="s">
        <v>12799</v>
      </c>
      <c r="K243" s="224"/>
      <c r="L243" s="224"/>
      <c r="M243" s="224"/>
      <c r="N243" s="224">
        <v>-2146826246</v>
      </c>
      <c r="O243" s="224" t="s">
        <v>16358</v>
      </c>
      <c r="P243" s="185"/>
      <c r="Q243" s="225"/>
      <c r="R243" s="182" t="str">
        <f ca="1">IF(ISERROR($V243),"",OFFSET('Smelter Look-up'!$C$4,$V243-4,0)&amp;"")</f>
        <v/>
      </c>
      <c r="S243" s="181" t="str">
        <f t="shared" ca="1" si="32"/>
        <v>ID</v>
      </c>
      <c r="T243" s="181" t="str">
        <f ca="1">IF(B243="","",IF(ISERROR(MATCH($J243,SorP!$B$1:$B$6226,0)),"",INDIRECT("'SorP'!$A$"&amp;MATCH($S243&amp;$J243,SorP!C:C,0))))</f>
        <v>ID-BB</v>
      </c>
      <c r="U243" s="201"/>
      <c r="V243" s="226" t="e">
        <f>IF(C243="",NA(),IF(OR(C243="Smelter not listed",C243="Smelter not yet identified"),MATCH($B243&amp;$D243,'Smelter Look-up'!$J:$J,0),MATCH($B243&amp;$C243,'Smelter Look-up'!$J:$J,0)))</f>
        <v>#N/A</v>
      </c>
      <c r="X243" s="227">
        <f t="shared" si="33"/>
        <v>0</v>
      </c>
      <c r="AB243" s="228" t="str">
        <f t="shared" si="34"/>
        <v>TinCV Venus Inti Perkasa</v>
      </c>
    </row>
    <row r="244" spans="1:28" s="227" customFormat="1" ht="148.5">
      <c r="A244" s="181"/>
      <c r="B244" s="182" t="s">
        <v>1099</v>
      </c>
      <c r="C244" s="186" t="s">
        <v>15303</v>
      </c>
      <c r="D244" s="230" t="s">
        <v>15303</v>
      </c>
      <c r="E244" s="182" t="s">
        <v>1069</v>
      </c>
      <c r="F244" s="182" t="s">
        <v>766</v>
      </c>
      <c r="G244" s="182" t="s">
        <v>13177</v>
      </c>
      <c r="H244" s="183" t="s">
        <v>16294</v>
      </c>
      <c r="I244" s="184" t="s">
        <v>2398</v>
      </c>
      <c r="J244" s="184" t="s">
        <v>13540</v>
      </c>
      <c r="K244" s="224"/>
      <c r="L244" s="224"/>
      <c r="M244" s="224"/>
      <c r="N244" s="224" t="s">
        <v>16359</v>
      </c>
      <c r="O244" s="224" t="s">
        <v>16360</v>
      </c>
      <c r="P244" s="185"/>
      <c r="Q244" s="225" t="s">
        <v>15840</v>
      </c>
      <c r="R244" s="182" t="str">
        <f ca="1">IF(ISERROR($V244),"",OFFSET('Smelter Look-up'!$C$4,$V244-4,0)&amp;"")</f>
        <v>Tin Smelting Branch of Yunnan Tin Co., Ltd.</v>
      </c>
      <c r="S244" s="181" t="str">
        <f t="shared" ca="1" si="32"/>
        <v>CN</v>
      </c>
      <c r="T244" s="181" t="str">
        <f ca="1">IF(B244="","",IF(ISERROR(MATCH($J244,SorP!$B$1:$B$6226,0)),"",INDIRECT("'SorP'!$A$"&amp;MATCH($S244&amp;$J244,SorP!C:C,0))))</f>
        <v>CN-YN</v>
      </c>
      <c r="U244" s="201"/>
      <c r="V244" s="226">
        <f>IF(C244="",NA(),IF(OR(C244="Smelter not listed",C244="Smelter not yet identified"),MATCH($B244&amp;$D244,'Smelter Look-up'!$J:$J,0),MATCH($B244&amp;$C244,'Smelter Look-up'!$J:$J,0)))</f>
        <v>524</v>
      </c>
      <c r="X244" s="227">
        <f t="shared" si="33"/>
        <v>0</v>
      </c>
      <c r="AB244" s="228" t="str">
        <f t="shared" si="34"/>
        <v>TinTin Smelting Branch of Yunnan Tin Co., Ltd.</v>
      </c>
    </row>
    <row r="245" spans="1:28" s="227" customFormat="1" ht="67.5">
      <c r="A245" s="181"/>
      <c r="B245" s="182" t="s">
        <v>1099</v>
      </c>
      <c r="C245" s="186" t="s">
        <v>2120</v>
      </c>
      <c r="D245" s="230" t="s">
        <v>2120</v>
      </c>
      <c r="E245" s="182" t="s">
        <v>1069</v>
      </c>
      <c r="F245" s="182" t="s">
        <v>765</v>
      </c>
      <c r="G245" s="182" t="s">
        <v>13177</v>
      </c>
      <c r="H245" s="183" t="s">
        <v>16294</v>
      </c>
      <c r="I245" s="184" t="s">
        <v>2398</v>
      </c>
      <c r="J245" s="184" t="s">
        <v>13540</v>
      </c>
      <c r="K245" s="224"/>
      <c r="L245" s="224"/>
      <c r="M245" s="224"/>
      <c r="N245" s="224" t="s">
        <v>16361</v>
      </c>
      <c r="O245" s="224" t="s">
        <v>16362</v>
      </c>
      <c r="P245" s="185"/>
      <c r="Q245" s="225" t="s">
        <v>15840</v>
      </c>
      <c r="R245" s="182" t="str">
        <f ca="1">IF(ISERROR($V245),"",OFFSET('Smelter Look-up'!$C$4,$V245-4,0)&amp;"")</f>
        <v>Yunnan Chengfeng Non-ferrous Metals Co., Ltd.</v>
      </c>
      <c r="S245" s="181" t="str">
        <f t="shared" ca="1" si="32"/>
        <v>CN</v>
      </c>
      <c r="T245" s="181" t="str">
        <f ca="1">IF(B245="","",IF(ISERROR(MATCH($J245,SorP!$B$1:$B$6226,0)),"",INDIRECT("'SorP'!$A$"&amp;MATCH($S245&amp;$J245,SorP!C:C,0))))</f>
        <v>CN-YN</v>
      </c>
      <c r="U245" s="201"/>
      <c r="V245" s="226">
        <f>IF(C245="",NA(),IF(OR(C245="Smelter not listed",C245="Smelter not yet identified"),MATCH($B245&amp;$D245,'Smelter Look-up'!$J:$J,0),MATCH($B245&amp;$C245,'Smelter Look-up'!$J:$J,0)))</f>
        <v>539</v>
      </c>
      <c r="X245" s="227">
        <f t="shared" si="33"/>
        <v>0</v>
      </c>
      <c r="AB245" s="228" t="str">
        <f t="shared" si="34"/>
        <v>TinYunnan Chengfeng Non-ferrous Metals Co., Ltd.</v>
      </c>
    </row>
    <row r="246" spans="1:28" s="227" customFormat="1" ht="216">
      <c r="A246" s="181"/>
      <c r="B246" s="182" t="s">
        <v>1099</v>
      </c>
      <c r="C246" s="186" t="s">
        <v>2484</v>
      </c>
      <c r="D246" s="230" t="s">
        <v>2484</v>
      </c>
      <c r="E246" s="182" t="s">
        <v>1065</v>
      </c>
      <c r="F246" s="182" t="s">
        <v>764</v>
      </c>
      <c r="G246" s="182" t="s">
        <v>13177</v>
      </c>
      <c r="H246" s="183" t="s">
        <v>16347</v>
      </c>
      <c r="I246" s="184" t="s">
        <v>1725</v>
      </c>
      <c r="J246" s="184" t="s">
        <v>1729</v>
      </c>
      <c r="K246" s="224"/>
      <c r="L246" s="224"/>
      <c r="M246" s="224"/>
      <c r="N246" s="224" t="s">
        <v>16254</v>
      </c>
      <c r="O246" s="224" t="s">
        <v>16363</v>
      </c>
      <c r="P246" s="185"/>
      <c r="Q246" s="225" t="s">
        <v>15840</v>
      </c>
      <c r="R246" s="182" t="str">
        <f ca="1">IF(ISERROR($V246),"",OFFSET('Smelter Look-up'!$C$4,$V246-4,0)&amp;"")</f>
        <v>White Solder Metalurgia e Mineracao Ltda.</v>
      </c>
      <c r="S246" s="181" t="str">
        <f t="shared" ca="1" si="32"/>
        <v>BR</v>
      </c>
      <c r="T246" s="181" t="str">
        <f ca="1">IF(B246="","",IF(ISERROR(MATCH($J246,SorP!$B$1:$B$6226,0)),"",INDIRECT("'SorP'!$A$"&amp;MATCH($S246&amp;$J246,SorP!C:C,0))))</f>
        <v>BR-RO</v>
      </c>
      <c r="U246" s="201"/>
      <c r="V246" s="226">
        <f>IF(C246="",NA(),IF(OR(C246="Smelter not listed",C246="Smelter not yet identified"),MATCH($B246&amp;$D246,'Smelter Look-up'!$J:$J,0),MATCH($B246&amp;$C246,'Smelter Look-up'!$J:$J,0)))</f>
        <v>530</v>
      </c>
      <c r="X246" s="227">
        <f t="shared" si="33"/>
        <v>0</v>
      </c>
      <c r="AB246" s="228" t="str">
        <f t="shared" si="34"/>
        <v>TinWhite Solder Metalurgia e Mineracao Ltda.</v>
      </c>
    </row>
    <row r="247" spans="1:28" s="227" customFormat="1" ht="40.5">
      <c r="A247" s="181"/>
      <c r="B247" s="182" t="s">
        <v>1099</v>
      </c>
      <c r="C247" s="186" t="s">
        <v>14964</v>
      </c>
      <c r="D247" s="230" t="s">
        <v>14964</v>
      </c>
      <c r="E247" s="182" t="s">
        <v>863</v>
      </c>
      <c r="F247" s="182" t="s">
        <v>14965</v>
      </c>
      <c r="G247" s="182" t="s">
        <v>13177</v>
      </c>
      <c r="H247" s="183" t="s">
        <v>16364</v>
      </c>
      <c r="I247" s="184" t="s">
        <v>14988</v>
      </c>
      <c r="J247" s="184" t="s">
        <v>14988</v>
      </c>
      <c r="K247" s="224"/>
      <c r="L247" s="224"/>
      <c r="M247" s="224"/>
      <c r="N247" s="224">
        <v>-2146826246</v>
      </c>
      <c r="O247" s="224" t="s">
        <v>16365</v>
      </c>
      <c r="P247" s="185"/>
      <c r="Q247" s="225"/>
      <c r="R247" s="182" t="str">
        <f ca="1">IF(ISERROR($V247),"",OFFSET('Smelter Look-up'!$C$4,$V247-4,0)&amp;"")</f>
        <v>VQB Mineral and Trading Group JSC</v>
      </c>
      <c r="S247" s="181" t="str">
        <f t="shared" ca="1" si="32"/>
        <v>VN</v>
      </c>
      <c r="T247" s="181" t="str">
        <f ca="1">IF(B247="","",IF(ISERROR(MATCH($J247,SorP!$B$1:$B$6226,0)),"",INDIRECT("'SorP'!$A$"&amp;MATCH($S247&amp;$J247,SorP!C:C,0))))</f>
        <v/>
      </c>
      <c r="U247" s="201"/>
      <c r="V247" s="226">
        <f>IF(C247="",NA(),IF(OR(C247="Smelter not listed",C247="Smelter not yet identified"),MATCH($B247&amp;$D247,'Smelter Look-up'!$J:$J,0),MATCH($B247&amp;$C247,'Smelter Look-up'!$J:$J,0)))</f>
        <v>529</v>
      </c>
      <c r="X247" s="227">
        <f t="shared" si="33"/>
        <v>0</v>
      </c>
      <c r="AB247" s="228" t="str">
        <f t="shared" si="34"/>
        <v>TinVQB Mineral and Trading Group JSC</v>
      </c>
    </row>
    <row r="248" spans="1:28" s="227" customFormat="1" ht="148.5">
      <c r="A248" s="181"/>
      <c r="B248" s="182" t="s">
        <v>1099</v>
      </c>
      <c r="C248" s="186" t="s">
        <v>1755</v>
      </c>
      <c r="D248" s="230" t="s">
        <v>1755</v>
      </c>
      <c r="E248" s="182" t="s">
        <v>1069</v>
      </c>
      <c r="F248" s="182" t="s">
        <v>1756</v>
      </c>
      <c r="G248" s="182" t="s">
        <v>13177</v>
      </c>
      <c r="H248" s="183" t="s">
        <v>16366</v>
      </c>
      <c r="I248" s="184" t="s">
        <v>2398</v>
      </c>
      <c r="J248" s="184" t="s">
        <v>13540</v>
      </c>
      <c r="K248" s="224"/>
      <c r="L248" s="224"/>
      <c r="M248" s="224"/>
      <c r="N248" s="224" t="s">
        <v>15957</v>
      </c>
      <c r="O248" s="224" t="s">
        <v>16367</v>
      </c>
      <c r="P248" s="185"/>
      <c r="Q248" s="225"/>
      <c r="R248" s="182" t="str">
        <f ca="1">IF(ISERROR($V248),"",OFFSET('Smelter Look-up'!$C$4,$V248-4,0)&amp;"")</f>
        <v>Gejiu Yunxin Nonferrous Electrolysis Co., Ltd.</v>
      </c>
      <c r="S248" s="181" t="str">
        <f t="shared" ca="1" si="32"/>
        <v>CN</v>
      </c>
      <c r="T248" s="181" t="str">
        <f ca="1">IF(B248="","",IF(ISERROR(MATCH($J248,SorP!$B$1:$B$6226,0)),"",INDIRECT("'SorP'!$A$"&amp;MATCH($S248&amp;$J248,SorP!C:C,0))))</f>
        <v>CN-YN</v>
      </c>
      <c r="U248" s="201"/>
      <c r="V248" s="226">
        <f>IF(C248="",NA(),IF(OR(C248="Smelter not listed",C248="Smelter not yet identified"),MATCH($B248&amp;$D248,'Smelter Look-up'!$J:$J,0),MATCH($B248&amp;$C248,'Smelter Look-up'!$J:$J,0)))</f>
        <v>444</v>
      </c>
      <c r="X248" s="227">
        <f t="shared" si="33"/>
        <v>0</v>
      </c>
      <c r="AB248" s="228" t="str">
        <f t="shared" si="34"/>
        <v>TinGejiu Yunxin Nonferrous Electrolysis Co., Ltd.</v>
      </c>
    </row>
    <row r="249" spans="1:28" s="227" customFormat="1" ht="243">
      <c r="A249" s="181"/>
      <c r="B249" s="182" t="s">
        <v>1099</v>
      </c>
      <c r="C249" s="186" t="s">
        <v>1000</v>
      </c>
      <c r="D249" s="230" t="s">
        <v>1000</v>
      </c>
      <c r="E249" s="182" t="s">
        <v>859</v>
      </c>
      <c r="F249" s="182" t="s">
        <v>763</v>
      </c>
      <c r="G249" s="182" t="s">
        <v>13177</v>
      </c>
      <c r="H249" s="183" t="s">
        <v>16368</v>
      </c>
      <c r="I249" s="184" t="s">
        <v>1752</v>
      </c>
      <c r="J249" s="184" t="s">
        <v>1753</v>
      </c>
      <c r="K249" s="224"/>
      <c r="L249" s="224"/>
      <c r="M249" s="224"/>
      <c r="N249" s="224" t="s">
        <v>16369</v>
      </c>
      <c r="O249" s="224" t="s">
        <v>16370</v>
      </c>
      <c r="P249" s="185"/>
      <c r="Q249" s="225" t="s">
        <v>15840</v>
      </c>
      <c r="R249" s="182" t="str">
        <f ca="1">IF(ISERROR($V249),"",OFFSET('Smelter Look-up'!$C$4,$V249-4,0)&amp;"")</f>
        <v>Thaisarco</v>
      </c>
      <c r="S249" s="181" t="str">
        <f t="shared" ca="1" si="32"/>
        <v>TH</v>
      </c>
      <c r="T249" s="181" t="str">
        <f ca="1">IF(B249="","",IF(ISERROR(MATCH($J249,SorP!$B$1:$B$6226,0)),"",INDIRECT("'SorP'!$A$"&amp;MATCH($S249&amp;$J249,SorP!C:C,0))))</f>
        <v>TH-83</v>
      </c>
      <c r="U249" s="201"/>
      <c r="V249" s="226">
        <f>IF(C249="",NA(),IF(OR(C249="Smelter not listed",C249="Smelter not yet identified"),MATCH($B249&amp;$D249,'Smelter Look-up'!$J:$J,0),MATCH($B249&amp;$C249,'Smelter Look-up'!$J:$J,0)))</f>
        <v>521</v>
      </c>
      <c r="X249" s="227">
        <f t="shared" si="33"/>
        <v>0</v>
      </c>
      <c r="AB249" s="228" t="str">
        <f t="shared" si="34"/>
        <v>TinThaisarco</v>
      </c>
    </row>
    <row r="250" spans="1:28" s="227" customFormat="1" ht="67.5">
      <c r="A250" s="181"/>
      <c r="B250" s="182" t="s">
        <v>1099</v>
      </c>
      <c r="C250" s="186" t="s">
        <v>761</v>
      </c>
      <c r="D250" s="230" t="s">
        <v>761</v>
      </c>
      <c r="E250" s="182" t="s">
        <v>2383</v>
      </c>
      <c r="F250" s="182" t="s">
        <v>762</v>
      </c>
      <c r="G250" s="182" t="s">
        <v>13177</v>
      </c>
      <c r="H250" s="183" t="s">
        <v>16371</v>
      </c>
      <c r="I250" s="184" t="s">
        <v>1665</v>
      </c>
      <c r="J250" s="184" t="s">
        <v>1665</v>
      </c>
      <c r="K250" s="224"/>
      <c r="L250" s="224"/>
      <c r="M250" s="224"/>
      <c r="N250" s="224" t="s">
        <v>16372</v>
      </c>
      <c r="O250" s="224" t="s">
        <v>16373</v>
      </c>
      <c r="P250" s="185"/>
      <c r="Q250" s="225" t="s">
        <v>15840</v>
      </c>
      <c r="R250" s="182" t="str">
        <f ca="1">IF(ISERROR($V250),"",OFFSET('Smelter Look-up'!$C$4,$V250-4,0)&amp;"")</f>
        <v>Rui Da Hung</v>
      </c>
      <c r="S250" s="181" t="str">
        <f t="shared" ca="1" si="32"/>
        <v>TW</v>
      </c>
      <c r="T250" s="181" t="str">
        <f ca="1">IF(B250="","",IF(ISERROR(MATCH($J250,SorP!$B$1:$B$6226,0)),"",INDIRECT("'SorP'!$A$"&amp;MATCH($S250&amp;$J250,SorP!C:C,0))))</f>
        <v>TW-TAO</v>
      </c>
      <c r="U250" s="201"/>
      <c r="V250" s="226">
        <f>IF(C250="",NA(),IF(OR(C250="Smelter not listed",C250="Smelter not yet identified"),MATCH($B250&amp;$D250,'Smelter Look-up'!$J:$J,0),MATCH($B250&amp;$C250,'Smelter Look-up'!$J:$J,0)))</f>
        <v>515</v>
      </c>
      <c r="X250" s="227">
        <f t="shared" si="33"/>
        <v>0</v>
      </c>
      <c r="AB250" s="228" t="str">
        <f t="shared" si="34"/>
        <v>TinRui Da Hung</v>
      </c>
    </row>
    <row r="251" spans="1:28" s="227" customFormat="1" ht="27">
      <c r="A251" s="181"/>
      <c r="B251" s="182" t="s">
        <v>1099</v>
      </c>
      <c r="C251" s="186" t="s">
        <v>16374</v>
      </c>
      <c r="D251" s="230" t="s">
        <v>16374</v>
      </c>
      <c r="E251" s="182" t="s">
        <v>1074</v>
      </c>
      <c r="F251" s="182" t="s">
        <v>16375</v>
      </c>
      <c r="G251" s="182" t="s">
        <v>13177</v>
      </c>
      <c r="H251" s="183" t="s">
        <v>16376</v>
      </c>
      <c r="I251" s="184" t="s">
        <v>16377</v>
      </c>
      <c r="J251" s="184" t="s">
        <v>12799</v>
      </c>
      <c r="K251" s="224"/>
      <c r="L251" s="224"/>
      <c r="M251" s="224"/>
      <c r="N251" s="224">
        <v>-2146826246</v>
      </c>
      <c r="O251" s="224" t="s">
        <v>15835</v>
      </c>
      <c r="P251" s="185"/>
      <c r="Q251" s="225" t="s">
        <v>15840</v>
      </c>
      <c r="R251" s="182" t="str">
        <f ca="1">IF(ISERROR($V251),"",OFFSET('Smelter Look-up'!$C$4,$V251-4,0)&amp;"")</f>
        <v/>
      </c>
      <c r="S251" s="181" t="str">
        <f t="shared" ca="1" si="32"/>
        <v>ID</v>
      </c>
      <c r="T251" s="181" t="str">
        <f ca="1">IF(B251="","",IF(ISERROR(MATCH($J251,SorP!$B$1:$B$6226,0)),"",INDIRECT("'SorP'!$A$"&amp;MATCH($S251&amp;$J251,SorP!C:C,0))))</f>
        <v>ID-BB</v>
      </c>
      <c r="U251" s="201"/>
      <c r="V251" s="226" t="e">
        <f>IF(C251="",NA(),IF(OR(C251="Smelter not listed",C251="Smelter not yet identified"),MATCH($B251&amp;$D251,'Smelter Look-up'!$J:$J,0),MATCH($B251&amp;$C251,'Smelter Look-up'!$J:$J,0)))</f>
        <v>#N/A</v>
      </c>
      <c r="X251" s="227">
        <f t="shared" si="33"/>
        <v>0</v>
      </c>
      <c r="AB251" s="228" t="str">
        <f t="shared" si="34"/>
        <v>TinPT Tommy Utama</v>
      </c>
    </row>
    <row r="252" spans="1:28" s="227" customFormat="1" ht="27">
      <c r="A252" s="181"/>
      <c r="B252" s="182" t="s">
        <v>1099</v>
      </c>
      <c r="C252" s="186" t="s">
        <v>16378</v>
      </c>
      <c r="D252" s="230" t="s">
        <v>16378</v>
      </c>
      <c r="E252" s="182" t="s">
        <v>1074</v>
      </c>
      <c r="F252" s="182" t="s">
        <v>16379</v>
      </c>
      <c r="G252" s="182" t="s">
        <v>13177</v>
      </c>
      <c r="H252" s="183" t="s">
        <v>16357</v>
      </c>
      <c r="I252" s="184" t="s">
        <v>14986</v>
      </c>
      <c r="J252" s="184" t="s">
        <v>12799</v>
      </c>
      <c r="K252" s="224"/>
      <c r="L252" s="224"/>
      <c r="M252" s="224"/>
      <c r="N252" s="224" t="s">
        <v>16380</v>
      </c>
      <c r="O252" s="224" t="s">
        <v>16381</v>
      </c>
      <c r="P252" s="185"/>
      <c r="Q252" s="225" t="s">
        <v>15840</v>
      </c>
      <c r="R252" s="182" t="str">
        <f ca="1">IF(ISERROR($V252),"",OFFSET('Smelter Look-up'!$C$4,$V252-4,0)&amp;"")</f>
        <v/>
      </c>
      <c r="S252" s="181" t="str">
        <f t="shared" ca="1" si="32"/>
        <v>ID</v>
      </c>
      <c r="T252" s="181" t="str">
        <f ca="1">IF(B252="","",IF(ISERROR(MATCH($J252,SorP!$B$1:$B$6226,0)),"",INDIRECT("'SorP'!$A$"&amp;MATCH($S252&amp;$J252,SorP!C:C,0))))</f>
        <v>ID-BB</v>
      </c>
      <c r="U252" s="201"/>
      <c r="V252" s="226" t="e">
        <f>IF(C252="",NA(),IF(OR(C252="Smelter not listed",C252="Smelter not yet identified"),MATCH($B252&amp;$D252,'Smelter Look-up'!$J:$J,0),MATCH($B252&amp;$C252,'Smelter Look-up'!$J:$J,0)))</f>
        <v>#N/A</v>
      </c>
      <c r="X252" s="227">
        <f t="shared" si="33"/>
        <v>0</v>
      </c>
      <c r="AB252" s="228" t="str">
        <f t="shared" si="34"/>
        <v>TinPT Tinindo Inter Nusa</v>
      </c>
    </row>
    <row r="253" spans="1:28" s="227" customFormat="1" ht="216">
      <c r="A253" s="181"/>
      <c r="B253" s="182" t="s">
        <v>1099</v>
      </c>
      <c r="C253" s="186" t="s">
        <v>16382</v>
      </c>
      <c r="D253" s="230" t="s">
        <v>16382</v>
      </c>
      <c r="E253" s="182" t="s">
        <v>1074</v>
      </c>
      <c r="F253" s="182" t="s">
        <v>16383</v>
      </c>
      <c r="G253" s="182" t="s">
        <v>13177</v>
      </c>
      <c r="H253" s="183" t="s">
        <v>16384</v>
      </c>
      <c r="I253" s="184" t="s">
        <v>16385</v>
      </c>
      <c r="J253" s="184" t="s">
        <v>12799</v>
      </c>
      <c r="K253" s="224"/>
      <c r="L253" s="224"/>
      <c r="M253" s="224"/>
      <c r="N253" s="224">
        <v>-2146826246</v>
      </c>
      <c r="O253" s="224" t="s">
        <v>16386</v>
      </c>
      <c r="P253" s="185"/>
      <c r="Q253" s="225"/>
      <c r="R253" s="182" t="str">
        <f ca="1">IF(ISERROR($V253),"",OFFSET('Smelter Look-up'!$C$4,$V253-4,0)&amp;"")</f>
        <v/>
      </c>
      <c r="S253" s="181" t="str">
        <f t="shared" ca="1" si="32"/>
        <v>ID</v>
      </c>
      <c r="T253" s="181" t="str">
        <f ca="1">IF(B253="","",IF(ISERROR(MATCH($J253,SorP!$B$1:$B$6226,0)),"",INDIRECT("'SorP'!$A$"&amp;MATCH($S253&amp;$J253,SorP!C:C,0))))</f>
        <v>ID-BB</v>
      </c>
      <c r="U253" s="201"/>
      <c r="V253" s="226" t="e">
        <f>IF(C253="",NA(),IF(OR(C253="Smelter not listed",C253="Smelter not yet identified"),MATCH($B253&amp;$D253,'Smelter Look-up'!$J:$J,0),MATCH($B253&amp;$C253,'Smelter Look-up'!$J:$J,0)))</f>
        <v>#N/A</v>
      </c>
      <c r="X253" s="227">
        <f t="shared" si="33"/>
        <v>0</v>
      </c>
      <c r="AB253" s="228" t="str">
        <f t="shared" si="34"/>
        <v>TinPT Timah Nusantara</v>
      </c>
    </row>
    <row r="254" spans="1:28" s="227" customFormat="1" ht="121.5">
      <c r="A254" s="181"/>
      <c r="B254" s="182" t="s">
        <v>1099</v>
      </c>
      <c r="C254" s="186" t="s">
        <v>13713</v>
      </c>
      <c r="D254" s="230" t="s">
        <v>13713</v>
      </c>
      <c r="E254" s="182" t="s">
        <v>1074</v>
      </c>
      <c r="F254" s="182" t="s">
        <v>760</v>
      </c>
      <c r="G254" s="182" t="s">
        <v>13177</v>
      </c>
      <c r="H254" s="183" t="s">
        <v>16387</v>
      </c>
      <c r="I254" s="184" t="s">
        <v>1751</v>
      </c>
      <c r="J254" s="184" t="s">
        <v>12799</v>
      </c>
      <c r="K254" s="224"/>
      <c r="L254" s="224"/>
      <c r="M254" s="224"/>
      <c r="N254" s="224" t="s">
        <v>16388</v>
      </c>
      <c r="O254" s="224" t="s">
        <v>16389</v>
      </c>
      <c r="P254" s="185"/>
      <c r="Q254" s="225" t="s">
        <v>15840</v>
      </c>
      <c r="R254" s="182" t="str">
        <f ca="1">IF(ISERROR($V254),"",OFFSET('Smelter Look-up'!$C$4,$V254-4,0)&amp;"")</f>
        <v>PT Timah Tbk Mentok</v>
      </c>
      <c r="S254" s="181" t="str">
        <f t="shared" ca="1" si="32"/>
        <v>ID</v>
      </c>
      <c r="T254" s="181" t="str">
        <f ca="1">IF(B254="","",IF(ISERROR(MATCH($J254,SorP!$B$1:$B$6226,0)),"",INDIRECT("'SorP'!$A$"&amp;MATCH($S254&amp;$J254,SorP!C:C,0))))</f>
        <v>ID-BB</v>
      </c>
      <c r="U254" s="201"/>
      <c r="V254" s="226">
        <f>IF(C254="",NA(),IF(OR(C254="Smelter not listed",C254="Smelter not yet identified"),MATCH($B254&amp;$D254,'Smelter Look-up'!$J:$J,0),MATCH($B254&amp;$C254,'Smelter Look-up'!$J:$J,0)))</f>
        <v>510</v>
      </c>
      <c r="X254" s="227">
        <f t="shared" si="33"/>
        <v>0</v>
      </c>
      <c r="AB254" s="228" t="str">
        <f t="shared" si="34"/>
        <v>TinPT Timah Tbk Mentok</v>
      </c>
    </row>
    <row r="255" spans="1:28" s="227" customFormat="1" ht="135">
      <c r="A255" s="181"/>
      <c r="B255" s="182" t="s">
        <v>1099</v>
      </c>
      <c r="C255" s="186" t="s">
        <v>13714</v>
      </c>
      <c r="D255" s="230" t="s">
        <v>13714</v>
      </c>
      <c r="E255" s="182" t="s">
        <v>1074</v>
      </c>
      <c r="F255" s="182" t="s">
        <v>777</v>
      </c>
      <c r="G255" s="182" t="s">
        <v>13177</v>
      </c>
      <c r="H255" s="183" t="s">
        <v>16390</v>
      </c>
      <c r="I255" s="184" t="s">
        <v>1749</v>
      </c>
      <c r="J255" s="184" t="s">
        <v>6016</v>
      </c>
      <c r="K255" s="224"/>
      <c r="L255" s="224"/>
      <c r="M255" s="224"/>
      <c r="N255" s="224" t="s">
        <v>16391</v>
      </c>
      <c r="O255" s="224" t="s">
        <v>16392</v>
      </c>
      <c r="P255" s="185"/>
      <c r="Q255" s="225" t="s">
        <v>15840</v>
      </c>
      <c r="R255" s="182" t="str">
        <f ca="1">IF(ISERROR($V255),"",OFFSET('Smelter Look-up'!$C$4,$V255-4,0)&amp;"")</f>
        <v>PT Timah Tbk Kundur</v>
      </c>
      <c r="S255" s="181" t="str">
        <f t="shared" ca="1" si="32"/>
        <v>ID</v>
      </c>
      <c r="T255" s="181" t="str">
        <f ca="1">IF(B255="","",IF(ISERROR(MATCH($J255,SorP!$B$1:$B$6226,0)),"",INDIRECT("'SorP'!$A$"&amp;MATCH($S255&amp;$J255,SorP!C:C,0))))</f>
        <v>ID-RI</v>
      </c>
      <c r="U255" s="201"/>
      <c r="V255" s="226">
        <f>IF(C255="",NA(),IF(OR(C255="Smelter not listed",C255="Smelter not yet identified"),MATCH($B255&amp;$D255,'Smelter Look-up'!$J:$J,0),MATCH($B255&amp;$C255,'Smelter Look-up'!$J:$J,0)))</f>
        <v>509</v>
      </c>
      <c r="X255" s="227">
        <f t="shared" si="33"/>
        <v>0</v>
      </c>
      <c r="AB255" s="228" t="str">
        <f t="shared" si="34"/>
        <v>TinPT Timah Tbk Kundur</v>
      </c>
    </row>
    <row r="256" spans="1:28" s="227" customFormat="1" ht="108">
      <c r="A256" s="181"/>
      <c r="B256" s="182" t="s">
        <v>1099</v>
      </c>
      <c r="C256" s="186" t="s">
        <v>16393</v>
      </c>
      <c r="D256" s="230" t="s">
        <v>16393</v>
      </c>
      <c r="E256" s="182" t="s">
        <v>1074</v>
      </c>
      <c r="F256" s="182" t="s">
        <v>16394</v>
      </c>
      <c r="G256" s="182" t="s">
        <v>13177</v>
      </c>
      <c r="H256" s="183" t="s">
        <v>16357</v>
      </c>
      <c r="I256" s="184" t="s">
        <v>14986</v>
      </c>
      <c r="J256" s="184" t="s">
        <v>12799</v>
      </c>
      <c r="K256" s="224"/>
      <c r="L256" s="224"/>
      <c r="M256" s="224"/>
      <c r="N256" s="224" t="s">
        <v>16254</v>
      </c>
      <c r="O256" s="224" t="s">
        <v>16395</v>
      </c>
      <c r="P256" s="185"/>
      <c r="Q256" s="225" t="s">
        <v>15840</v>
      </c>
      <c r="R256" s="182" t="str">
        <f ca="1">IF(ISERROR($V256),"",OFFSET('Smelter Look-up'!$C$4,$V256-4,0)&amp;"")</f>
        <v/>
      </c>
      <c r="S256" s="181" t="str">
        <f t="shared" ca="1" si="32"/>
        <v>ID</v>
      </c>
      <c r="T256" s="181" t="str">
        <f ca="1">IF(B256="","",IF(ISERROR(MATCH($J256,SorP!$B$1:$B$6226,0)),"",INDIRECT("'SorP'!$A$"&amp;MATCH($S256&amp;$J256,SorP!C:C,0))))</f>
        <v>ID-BB</v>
      </c>
      <c r="U256" s="201"/>
      <c r="V256" s="226" t="e">
        <f>IF(C256="",NA(),IF(OR(C256="Smelter not listed",C256="Smelter not yet identified"),MATCH($B256&amp;$D256,'Smelter Look-up'!$J:$J,0),MATCH($B256&amp;$C256,'Smelter Look-up'!$J:$J,0)))</f>
        <v>#N/A</v>
      </c>
      <c r="X256" s="227">
        <f t="shared" si="33"/>
        <v>0</v>
      </c>
      <c r="AB256" s="228" t="str">
        <f t="shared" si="34"/>
        <v>TinPT Stanindo Inti Perkasa</v>
      </c>
    </row>
    <row r="257" spans="1:28" s="227" customFormat="1" ht="27">
      <c r="A257" s="181"/>
      <c r="B257" s="182" t="s">
        <v>1099</v>
      </c>
      <c r="C257" s="186" t="s">
        <v>16396</v>
      </c>
      <c r="D257" s="230" t="s">
        <v>16396</v>
      </c>
      <c r="E257" s="182" t="s">
        <v>1074</v>
      </c>
      <c r="F257" s="182" t="s">
        <v>16397</v>
      </c>
      <c r="G257" s="182" t="s">
        <v>13177</v>
      </c>
      <c r="H257" s="183" t="s">
        <v>16357</v>
      </c>
      <c r="I257" s="184" t="s">
        <v>14986</v>
      </c>
      <c r="J257" s="184" t="s">
        <v>12799</v>
      </c>
      <c r="K257" s="224"/>
      <c r="L257" s="224"/>
      <c r="M257" s="224"/>
      <c r="N257" s="224" t="s">
        <v>12533</v>
      </c>
      <c r="O257" s="224" t="s">
        <v>15919</v>
      </c>
      <c r="P257" s="185"/>
      <c r="Q257" s="225" t="s">
        <v>15840</v>
      </c>
      <c r="R257" s="182" t="str">
        <f ca="1">IF(ISERROR($V257),"",OFFSET('Smelter Look-up'!$C$4,$V257-4,0)&amp;"")</f>
        <v/>
      </c>
      <c r="S257" s="181" t="str">
        <f t="shared" ca="1" si="32"/>
        <v>ID</v>
      </c>
      <c r="T257" s="181" t="str">
        <f ca="1">IF(B257="","",IF(ISERROR(MATCH($J257,SorP!$B$1:$B$6226,0)),"",INDIRECT("'SorP'!$A$"&amp;MATCH($S257&amp;$J257,SorP!C:C,0))))</f>
        <v>ID-BB</v>
      </c>
      <c r="U257" s="201"/>
      <c r="V257" s="226" t="e">
        <f>IF(C257="",NA(),IF(OR(C257="Smelter not listed",C257="Smelter not yet identified"),MATCH($B257&amp;$D257,'Smelter Look-up'!$J:$J,0),MATCH($B257&amp;$C257,'Smelter Look-up'!$J:$J,0)))</f>
        <v>#N/A</v>
      </c>
      <c r="X257" s="227">
        <f t="shared" si="33"/>
        <v>0</v>
      </c>
      <c r="AB257" s="228" t="str">
        <f t="shared" si="34"/>
        <v>TinPT Sariwiguna Binasentosa</v>
      </c>
    </row>
    <row r="258" spans="1:28" s="227" customFormat="1" ht="229.5">
      <c r="A258" s="181"/>
      <c r="B258" s="182" t="s">
        <v>1099</v>
      </c>
      <c r="C258" s="186" t="s">
        <v>16398</v>
      </c>
      <c r="D258" s="230" t="s">
        <v>16398</v>
      </c>
      <c r="E258" s="182" t="s">
        <v>1074</v>
      </c>
      <c r="F258" s="182" t="s">
        <v>16399</v>
      </c>
      <c r="G258" s="182" t="s">
        <v>13177</v>
      </c>
      <c r="H258" s="183" t="s">
        <v>16345</v>
      </c>
      <c r="I258" s="184" t="s">
        <v>1726</v>
      </c>
      <c r="J258" s="184" t="s">
        <v>12799</v>
      </c>
      <c r="K258" s="224"/>
      <c r="L258" s="224"/>
      <c r="M258" s="224"/>
      <c r="N258" s="224" t="s">
        <v>16400</v>
      </c>
      <c r="O258" s="224" t="s">
        <v>16401</v>
      </c>
      <c r="P258" s="185"/>
      <c r="Q258" s="225" t="s">
        <v>15840</v>
      </c>
      <c r="R258" s="182" t="str">
        <f ca="1">IF(ISERROR($V258),"",OFFSET('Smelter Look-up'!$C$4,$V258-4,0)&amp;"")</f>
        <v/>
      </c>
      <c r="S258" s="181" t="str">
        <f t="shared" ca="1" si="32"/>
        <v>ID</v>
      </c>
      <c r="T258" s="181" t="str">
        <f ca="1">IF(B258="","",IF(ISERROR(MATCH($J258,SorP!$B$1:$B$6226,0)),"",INDIRECT("'SorP'!$A$"&amp;MATCH($S258&amp;$J258,SorP!C:C,0))))</f>
        <v>ID-BB</v>
      </c>
      <c r="U258" s="201"/>
      <c r="V258" s="226" t="e">
        <f>IF(C258="",NA(),IF(OR(C258="Smelter not listed",C258="Smelter not yet identified"),MATCH($B258&amp;$D258,'Smelter Look-up'!$J:$J,0),MATCH($B258&amp;$C258,'Smelter Look-up'!$J:$J,0)))</f>
        <v>#N/A</v>
      </c>
      <c r="X258" s="227">
        <f t="shared" si="33"/>
        <v>0</v>
      </c>
      <c r="AB258" s="228" t="str">
        <f t="shared" si="34"/>
        <v>TinPT REFINED BANGKA TIN</v>
      </c>
    </row>
    <row r="259" spans="1:28" s="227" customFormat="1" ht="108">
      <c r="A259" s="181"/>
      <c r="B259" s="182" t="s">
        <v>1099</v>
      </c>
      <c r="C259" s="186" t="s">
        <v>15713</v>
      </c>
      <c r="D259" s="230" t="s">
        <v>15713</v>
      </c>
      <c r="E259" s="182" t="s">
        <v>1074</v>
      </c>
      <c r="F259" s="182" t="s">
        <v>15714</v>
      </c>
      <c r="G259" s="182" t="s">
        <v>13177</v>
      </c>
      <c r="H259" s="183" t="s">
        <v>16357</v>
      </c>
      <c r="I259" s="184" t="s">
        <v>14986</v>
      </c>
      <c r="J259" s="184" t="s">
        <v>12799</v>
      </c>
      <c r="K259" s="224"/>
      <c r="L259" s="224"/>
      <c r="M259" s="224"/>
      <c r="N259" s="224" t="s">
        <v>12533</v>
      </c>
      <c r="O259" s="224" t="s">
        <v>16402</v>
      </c>
      <c r="P259" s="185"/>
      <c r="Q259" s="225" t="s">
        <v>15840</v>
      </c>
      <c r="R259" s="182" t="str">
        <f ca="1">IF(ISERROR($V259),"",OFFSET('Smelter Look-up'!$C$4,$V259-4,0)&amp;"")</f>
        <v>PT Prima Timah Utama</v>
      </c>
      <c r="S259" s="181" t="str">
        <f t="shared" ca="1" si="32"/>
        <v>ID</v>
      </c>
      <c r="T259" s="181" t="str">
        <f ca="1">IF(B259="","",IF(ISERROR(MATCH($J259,SorP!$B$1:$B$6226,0)),"",INDIRECT("'SorP'!$A$"&amp;MATCH($S259&amp;$J259,SorP!C:C,0))))</f>
        <v>ID-BB</v>
      </c>
      <c r="U259" s="201"/>
      <c r="V259" s="226">
        <f>IF(C259="",NA(),IF(OR(C259="Smelter not listed",C259="Smelter not yet identified"),MATCH($B259&amp;$D259,'Smelter Look-up'!$J:$J,0),MATCH($B259&amp;$C259,'Smelter Look-up'!$J:$J,0)))</f>
        <v>505</v>
      </c>
      <c r="X259" s="227">
        <f t="shared" si="33"/>
        <v>0</v>
      </c>
      <c r="AB259" s="228" t="str">
        <f t="shared" si="34"/>
        <v>TinPT Prima Timah Utama</v>
      </c>
    </row>
    <row r="260" spans="1:28" s="227" customFormat="1" ht="27">
      <c r="A260" s="181"/>
      <c r="B260" s="182" t="s">
        <v>1099</v>
      </c>
      <c r="C260" s="186" t="s">
        <v>16403</v>
      </c>
      <c r="D260" s="230" t="s">
        <v>16403</v>
      </c>
      <c r="E260" s="182" t="s">
        <v>1074</v>
      </c>
      <c r="F260" s="182" t="s">
        <v>16404</v>
      </c>
      <c r="G260" s="182" t="s">
        <v>13177</v>
      </c>
      <c r="H260" s="183" t="s">
        <v>16345</v>
      </c>
      <c r="I260" s="184" t="s">
        <v>1726</v>
      </c>
      <c r="J260" s="184" t="s">
        <v>12799</v>
      </c>
      <c r="K260" s="224"/>
      <c r="L260" s="224"/>
      <c r="M260" s="224"/>
      <c r="N260" s="224">
        <v>-2146826246</v>
      </c>
      <c r="O260" s="224" t="s">
        <v>15835</v>
      </c>
      <c r="P260" s="185"/>
      <c r="Q260" s="225"/>
      <c r="R260" s="182" t="str">
        <f ca="1">IF(ISERROR($V260),"",OFFSET('Smelter Look-up'!$C$4,$V260-4,0)&amp;"")</f>
        <v/>
      </c>
      <c r="S260" s="181" t="str">
        <f t="shared" ca="1" si="32"/>
        <v>ID</v>
      </c>
      <c r="T260" s="181" t="str">
        <f ca="1">IF(B260="","",IF(ISERROR(MATCH($J260,SorP!$B$1:$B$6226,0)),"",INDIRECT("'SorP'!$A$"&amp;MATCH($S260&amp;$J260,SorP!C:C,0))))</f>
        <v>ID-BB</v>
      </c>
      <c r="U260" s="201"/>
      <c r="V260" s="226" t="e">
        <f>IF(C260="",NA(),IF(OR(C260="Smelter not listed",C260="Smelter not yet identified"),MATCH($B260&amp;$D260,'Smelter Look-up'!$J:$J,0),MATCH($B260&amp;$C260,'Smelter Look-up'!$J:$J,0)))</f>
        <v>#N/A</v>
      </c>
      <c r="X260" s="227">
        <f t="shared" si="33"/>
        <v>0</v>
      </c>
      <c r="AB260" s="228" t="str">
        <f t="shared" si="34"/>
        <v>TinPT Panca Mega Persada</v>
      </c>
    </row>
    <row r="261" spans="1:28" s="227" customFormat="1" ht="216">
      <c r="A261" s="181"/>
      <c r="B261" s="182" t="s">
        <v>1099</v>
      </c>
      <c r="C261" s="186" t="s">
        <v>610</v>
      </c>
      <c r="D261" s="230" t="s">
        <v>610</v>
      </c>
      <c r="E261" s="182" t="s">
        <v>1074</v>
      </c>
      <c r="F261" s="182" t="s">
        <v>759</v>
      </c>
      <c r="G261" s="182" t="s">
        <v>13177</v>
      </c>
      <c r="H261" s="183" t="s">
        <v>16345</v>
      </c>
      <c r="I261" s="184" t="s">
        <v>1726</v>
      </c>
      <c r="J261" s="184" t="s">
        <v>12799</v>
      </c>
      <c r="K261" s="224"/>
      <c r="L261" s="224"/>
      <c r="M261" s="224"/>
      <c r="N261" s="224" t="s">
        <v>12533</v>
      </c>
      <c r="O261" s="224" t="s">
        <v>16405</v>
      </c>
      <c r="P261" s="185"/>
      <c r="Q261" s="225" t="s">
        <v>15840</v>
      </c>
      <c r="R261" s="182" t="str">
        <f ca="1">IF(ISERROR($V261),"",OFFSET('Smelter Look-up'!$C$4,$V261-4,0)&amp;"")</f>
        <v>PT Mitra Stania Prima</v>
      </c>
      <c r="S261" s="181" t="str">
        <f t="shared" ref="S261" ca="1" si="35">IF(B261="","",IF(ISERROR(MATCH($E261,CL,0)),"Unknown",INDIRECT("'C'!$A$"&amp;MATCH($E261,CL,0)+1)))</f>
        <v>ID</v>
      </c>
      <c r="T261" s="181" t="str">
        <f ca="1">IF(B261="","",IF(ISERROR(MATCH($J261,SorP!$B$1:$B$6226,0)),"",INDIRECT("'SorP'!$A$"&amp;MATCH($S261&amp;$J261,SorP!C:C,0))))</f>
        <v>ID-BB</v>
      </c>
      <c r="U261" s="201"/>
      <c r="V261" s="226">
        <f>IF(C261="",NA(),IF(OR(C261="Smelter not listed",C261="Smelter not yet identified"),MATCH($B261&amp;$D261,'Smelter Look-up'!$J:$J,0),MATCH($B261&amp;$C261,'Smelter Look-up'!$J:$J,0)))</f>
        <v>502</v>
      </c>
      <c r="X261" s="227">
        <f t="shared" ref="X261" si="36">IF(AND(C261="Smelter not listed",OR(LEN(D261)=0,LEN(E261)=0)),1,0)</f>
        <v>0</v>
      </c>
      <c r="AB261" s="228" t="str">
        <f t="shared" ref="AB261" si="37">B261&amp;C261</f>
        <v>TinPT Mitra Stania Prima</v>
      </c>
    </row>
    <row r="262" spans="1:28" s="227" customFormat="1" ht="54">
      <c r="A262" s="181"/>
      <c r="B262" s="182" t="s">
        <v>1099</v>
      </c>
      <c r="C262" s="186" t="s">
        <v>16406</v>
      </c>
      <c r="D262" s="230" t="s">
        <v>16406</v>
      </c>
      <c r="E262" s="182" t="s">
        <v>1074</v>
      </c>
      <c r="F262" s="182" t="s">
        <v>16407</v>
      </c>
      <c r="G262" s="182" t="s">
        <v>13177</v>
      </c>
      <c r="H262" s="183" t="s">
        <v>16357</v>
      </c>
      <c r="I262" s="184" t="s">
        <v>14986</v>
      </c>
      <c r="J262" s="184" t="s">
        <v>12799</v>
      </c>
      <c r="K262" s="224"/>
      <c r="L262" s="224"/>
      <c r="M262" s="224"/>
      <c r="N262" s="224">
        <v>-2146826246</v>
      </c>
      <c r="O262" s="224" t="s">
        <v>16408</v>
      </c>
      <c r="P262" s="185"/>
      <c r="Q262" s="225" t="s">
        <v>15840</v>
      </c>
      <c r="R262" s="182" t="str">
        <f ca="1">IF(ISERROR($V262),"",OFFSET('Smelter Look-up'!$C$4,$V262-4,0)&amp;"")</f>
        <v/>
      </c>
      <c r="S262" s="181" t="str">
        <f t="shared" ref="S262:S293" ca="1" si="38">IF(B262="","",IF(ISERROR(MATCH($E262,CL,0)),"Unknown",INDIRECT("'C'!$A$"&amp;MATCH($E262,CL,0)+1)))</f>
        <v>ID</v>
      </c>
      <c r="T262" s="181" t="str">
        <f ca="1">IF(B262="","",IF(ISERROR(MATCH($J262,SorP!$B$1:$B$6226,0)),"",INDIRECT("'SorP'!$A$"&amp;MATCH($S262&amp;$J262,SorP!C:C,0))))</f>
        <v>ID-BB</v>
      </c>
      <c r="U262" s="201"/>
      <c r="V262" s="226" t="e">
        <f>IF(C262="",NA(),IF(OR(C262="Smelter not listed",C262="Smelter not yet identified"),MATCH($B262&amp;$D262,'Smelter Look-up'!$J:$J,0),MATCH($B262&amp;$C262,'Smelter Look-up'!$J:$J,0)))</f>
        <v>#N/A</v>
      </c>
      <c r="X262" s="227">
        <f t="shared" ref="X262:X293" si="39">IF(AND(C262="Smelter not listed",OR(LEN(D262)=0,LEN(E262)=0)),1,0)</f>
        <v>0</v>
      </c>
      <c r="AB262" s="228" t="str">
        <f t="shared" ref="AB262:AB293" si="40">B262&amp;C262</f>
        <v>TinPT Bukit Timah</v>
      </c>
    </row>
    <row r="263" spans="1:28" s="227" customFormat="1" ht="27">
      <c r="A263" s="181"/>
      <c r="B263" s="182" t="s">
        <v>1099</v>
      </c>
      <c r="C263" s="186" t="s">
        <v>16409</v>
      </c>
      <c r="D263" s="230" t="s">
        <v>16409</v>
      </c>
      <c r="E263" s="182" t="s">
        <v>1074</v>
      </c>
      <c r="F263" s="182" t="s">
        <v>16410</v>
      </c>
      <c r="G263" s="182" t="s">
        <v>13177</v>
      </c>
      <c r="H263" s="183" t="s">
        <v>16411</v>
      </c>
      <c r="I263" s="184" t="s">
        <v>16412</v>
      </c>
      <c r="J263" s="184" t="s">
        <v>12799</v>
      </c>
      <c r="K263" s="224"/>
      <c r="L263" s="224"/>
      <c r="M263" s="224"/>
      <c r="N263" s="224">
        <v>-2146826246</v>
      </c>
      <c r="O263" s="224" t="s">
        <v>15835</v>
      </c>
      <c r="P263" s="185"/>
      <c r="Q263" s="225"/>
      <c r="R263" s="182" t="str">
        <f ca="1">IF(ISERROR($V263),"",OFFSET('Smelter Look-up'!$C$4,$V263-4,0)&amp;"")</f>
        <v/>
      </c>
      <c r="S263" s="181" t="str">
        <f t="shared" ca="1" si="38"/>
        <v>ID</v>
      </c>
      <c r="T263" s="181" t="str">
        <f ca="1">IF(B263="","",IF(ISERROR(MATCH($J263,SorP!$B$1:$B$6226,0)),"",INDIRECT("'SorP'!$A$"&amp;MATCH($S263&amp;$J263,SorP!C:C,0))))</f>
        <v>ID-BB</v>
      </c>
      <c r="U263" s="201"/>
      <c r="V263" s="226" t="e">
        <f>IF(C263="",NA(),IF(OR(C263="Smelter not listed",C263="Smelter not yet identified"),MATCH($B263&amp;$D263,'Smelter Look-up'!$J:$J,0),MATCH($B263&amp;$C263,'Smelter Look-up'!$J:$J,0)))</f>
        <v>#N/A</v>
      </c>
      <c r="X263" s="227">
        <f t="shared" si="39"/>
        <v>0</v>
      </c>
      <c r="AB263" s="228" t="str">
        <f t="shared" si="40"/>
        <v>TinPT Belitung Industri Sejahtera</v>
      </c>
    </row>
    <row r="264" spans="1:28" s="227" customFormat="1" ht="40.5">
      <c r="A264" s="181"/>
      <c r="B264" s="182" t="s">
        <v>1099</v>
      </c>
      <c r="C264" s="186" t="s">
        <v>16413</v>
      </c>
      <c r="D264" s="230" t="s">
        <v>16413</v>
      </c>
      <c r="E264" s="182" t="s">
        <v>1074</v>
      </c>
      <c r="F264" s="182" t="s">
        <v>16414</v>
      </c>
      <c r="G264" s="182" t="s">
        <v>13177</v>
      </c>
      <c r="H264" s="183" t="s">
        <v>16415</v>
      </c>
      <c r="I264" s="184" t="s">
        <v>16416</v>
      </c>
      <c r="J264" s="184" t="s">
        <v>12799</v>
      </c>
      <c r="K264" s="224"/>
      <c r="L264" s="224"/>
      <c r="M264" s="224"/>
      <c r="N264" s="224" t="s">
        <v>12533</v>
      </c>
      <c r="O264" s="224" t="s">
        <v>16417</v>
      </c>
      <c r="P264" s="185"/>
      <c r="Q264" s="225" t="s">
        <v>15840</v>
      </c>
      <c r="R264" s="182" t="str">
        <f ca="1">IF(ISERROR($V264),"",OFFSET('Smelter Look-up'!$C$4,$V264-4,0)&amp;"")</f>
        <v/>
      </c>
      <c r="S264" s="181" t="str">
        <f t="shared" ca="1" si="38"/>
        <v>ID</v>
      </c>
      <c r="T264" s="181" t="str">
        <f ca="1">IF(B264="","",IF(ISERROR(MATCH($J264,SorP!$B$1:$B$6226,0)),"",INDIRECT("'SorP'!$A$"&amp;MATCH($S264&amp;$J264,SorP!C:C,0))))</f>
        <v>ID-BB</v>
      </c>
      <c r="U264" s="201"/>
      <c r="V264" s="226" t="e">
        <f>IF(C264="",NA(),IF(OR(C264="Smelter not listed",C264="Smelter not yet identified"),MATCH($B264&amp;$D264,'Smelter Look-up'!$J:$J,0),MATCH($B264&amp;$C264,'Smelter Look-up'!$J:$J,0)))</f>
        <v>#N/A</v>
      </c>
      <c r="X264" s="227">
        <f t="shared" si="39"/>
        <v>0</v>
      </c>
      <c r="AB264" s="228" t="str">
        <f t="shared" si="40"/>
        <v>TinPT Babel Surya Alam Lestari</v>
      </c>
    </row>
    <row r="265" spans="1:28" s="227" customFormat="1" ht="108">
      <c r="A265" s="181"/>
      <c r="B265" s="182" t="s">
        <v>1099</v>
      </c>
      <c r="C265" s="186" t="s">
        <v>16418</v>
      </c>
      <c r="D265" s="230" t="s">
        <v>16418</v>
      </c>
      <c r="E265" s="182" t="s">
        <v>1074</v>
      </c>
      <c r="F265" s="182" t="s">
        <v>16419</v>
      </c>
      <c r="G265" s="182" t="s">
        <v>13177</v>
      </c>
      <c r="H265" s="183" t="s">
        <v>16420</v>
      </c>
      <c r="I265" s="184" t="s">
        <v>16421</v>
      </c>
      <c r="J265" s="184" t="s">
        <v>12799</v>
      </c>
      <c r="K265" s="224"/>
      <c r="L265" s="224"/>
      <c r="M265" s="224"/>
      <c r="N265" s="224" t="s">
        <v>16254</v>
      </c>
      <c r="O265" s="224" t="s">
        <v>16422</v>
      </c>
      <c r="P265" s="185"/>
      <c r="Q265" s="225" t="s">
        <v>15840</v>
      </c>
      <c r="R265" s="182" t="str">
        <f ca="1">IF(ISERROR($V265),"",OFFSET('Smelter Look-up'!$C$4,$V265-4,0)&amp;"")</f>
        <v/>
      </c>
      <c r="S265" s="181" t="str">
        <f t="shared" ca="1" si="38"/>
        <v>ID</v>
      </c>
      <c r="T265" s="181" t="str">
        <f ca="1">IF(B265="","",IF(ISERROR(MATCH($J265,SorP!$B$1:$B$6226,0)),"",INDIRECT("'SorP'!$A$"&amp;MATCH($S265&amp;$J265,SorP!C:C,0))))</f>
        <v>ID-BB</v>
      </c>
      <c r="U265" s="201"/>
      <c r="V265" s="226" t="e">
        <f>IF(C265="",NA(),IF(OR(C265="Smelter not listed",C265="Smelter not yet identified"),MATCH($B265&amp;$D265,'Smelter Look-up'!$J:$J,0),MATCH($B265&amp;$C265,'Smelter Look-up'!$J:$J,0)))</f>
        <v>#N/A</v>
      </c>
      <c r="X265" s="227">
        <f t="shared" si="39"/>
        <v>0</v>
      </c>
      <c r="AB265" s="228" t="str">
        <f t="shared" si="40"/>
        <v>TinPT Babel Inti Perkasa</v>
      </c>
    </row>
    <row r="266" spans="1:28" s="227" customFormat="1" ht="216">
      <c r="A266" s="181"/>
      <c r="B266" s="182" t="s">
        <v>1099</v>
      </c>
      <c r="C266" s="186" t="s">
        <v>16423</v>
      </c>
      <c r="D266" s="230" t="s">
        <v>16423</v>
      </c>
      <c r="E266" s="182" t="s">
        <v>1074</v>
      </c>
      <c r="F266" s="182" t="s">
        <v>16424</v>
      </c>
      <c r="G266" s="182" t="s">
        <v>13177</v>
      </c>
      <c r="H266" s="183" t="s">
        <v>16345</v>
      </c>
      <c r="I266" s="184" t="s">
        <v>1726</v>
      </c>
      <c r="J266" s="184" t="s">
        <v>12799</v>
      </c>
      <c r="K266" s="224"/>
      <c r="L266" s="224"/>
      <c r="M266" s="224"/>
      <c r="N266" s="224" t="s">
        <v>12533</v>
      </c>
      <c r="O266" s="224" t="s">
        <v>16425</v>
      </c>
      <c r="P266" s="185"/>
      <c r="Q266" s="225" t="s">
        <v>15840</v>
      </c>
      <c r="R266" s="182" t="str">
        <f ca="1">IF(ISERROR($V266),"",OFFSET('Smelter Look-up'!$C$4,$V266-4,0)&amp;"")</f>
        <v/>
      </c>
      <c r="S266" s="181" t="str">
        <f t="shared" ca="1" si="38"/>
        <v>ID</v>
      </c>
      <c r="T266" s="181" t="str">
        <f ca="1">IF(B266="","",IF(ISERROR(MATCH($J266,SorP!$B$1:$B$6226,0)),"",INDIRECT("'SorP'!$A$"&amp;MATCH($S266&amp;$J266,SorP!C:C,0))))</f>
        <v>ID-BB</v>
      </c>
      <c r="U266" s="201"/>
      <c r="V266" s="226" t="e">
        <f>IF(C266="",NA(),IF(OR(C266="Smelter not listed",C266="Smelter not yet identified"),MATCH($B266&amp;$D266,'Smelter Look-up'!$J:$J,0),MATCH($B266&amp;$C266,'Smelter Look-up'!$J:$J,0)))</f>
        <v>#N/A</v>
      </c>
      <c r="X266" s="227">
        <f t="shared" si="39"/>
        <v>0</v>
      </c>
      <c r="AB266" s="228" t="str">
        <f t="shared" si="40"/>
        <v>TinPT Artha Cipta Langgeng</v>
      </c>
    </row>
    <row r="267" spans="1:28" s="227" customFormat="1" ht="135">
      <c r="A267" s="181"/>
      <c r="B267" s="182" t="s">
        <v>1099</v>
      </c>
      <c r="C267" s="186" t="s">
        <v>13715</v>
      </c>
      <c r="D267" s="230" t="s">
        <v>13715</v>
      </c>
      <c r="E267" s="182" t="s">
        <v>2382</v>
      </c>
      <c r="F267" s="182" t="s">
        <v>758</v>
      </c>
      <c r="G267" s="182" t="s">
        <v>13177</v>
      </c>
      <c r="H267" s="183" t="s">
        <v>16426</v>
      </c>
      <c r="I267" s="184" t="s">
        <v>1728</v>
      </c>
      <c r="J267" s="184" t="s">
        <v>1728</v>
      </c>
      <c r="K267" s="224"/>
      <c r="L267" s="224"/>
      <c r="M267" s="224"/>
      <c r="N267" s="224" t="s">
        <v>12533</v>
      </c>
      <c r="O267" s="224" t="s">
        <v>16427</v>
      </c>
      <c r="P267" s="185"/>
      <c r="Q267" s="225" t="s">
        <v>15840</v>
      </c>
      <c r="R267" s="182" t="str">
        <f ca="1">IF(ISERROR($V267),"",OFFSET('Smelter Look-up'!$C$4,$V267-4,0)&amp;"")</f>
        <v>Operaciones Metalurgicas S.A.</v>
      </c>
      <c r="S267" s="181" t="str">
        <f t="shared" ca="1" si="38"/>
        <v>BO</v>
      </c>
      <c r="T267" s="181" t="str">
        <f ca="1">IF(B267="","",IF(ISERROR(MATCH($J267,SorP!$B$1:$B$6226,0)),"",INDIRECT("'SorP'!$A$"&amp;MATCH($S267&amp;$J267,SorP!C:C,0))))</f>
        <v>BO-O</v>
      </c>
      <c r="U267" s="201"/>
      <c r="V267" s="226">
        <f>IF(C267="",NA(),IF(OR(C267="Smelter not listed",C267="Smelter not yet identified"),MATCH($B267&amp;$D267,'Smelter Look-up'!$J:$J,0),MATCH($B267&amp;$C267,'Smelter Look-up'!$J:$J,0)))</f>
        <v>493</v>
      </c>
      <c r="X267" s="227">
        <f t="shared" si="39"/>
        <v>0</v>
      </c>
      <c r="AB267" s="228" t="str">
        <f t="shared" si="40"/>
        <v>TinOperaciones Metalurgicas S.A.</v>
      </c>
    </row>
    <row r="268" spans="1:28" s="227" customFormat="1" ht="108">
      <c r="A268" s="181"/>
      <c r="B268" s="182" t="s">
        <v>1099</v>
      </c>
      <c r="C268" s="186" t="s">
        <v>756</v>
      </c>
      <c r="D268" s="230" t="s">
        <v>756</v>
      </c>
      <c r="E268" s="182" t="s">
        <v>859</v>
      </c>
      <c r="F268" s="182" t="s">
        <v>757</v>
      </c>
      <c r="G268" s="182" t="s">
        <v>13177</v>
      </c>
      <c r="H268" s="183" t="s">
        <v>16428</v>
      </c>
      <c r="I268" s="184" t="s">
        <v>16429</v>
      </c>
      <c r="J268" s="184" t="s">
        <v>10972</v>
      </c>
      <c r="K268" s="224"/>
      <c r="L268" s="224"/>
      <c r="M268" s="224"/>
      <c r="N268" s="224" t="s">
        <v>15861</v>
      </c>
      <c r="O268" s="224" t="s">
        <v>16430</v>
      </c>
      <c r="P268" s="185"/>
      <c r="Q268" s="225" t="s">
        <v>15840</v>
      </c>
      <c r="R268" s="182" t="str">
        <f ca="1">IF(ISERROR($V268),"",OFFSET('Smelter Look-up'!$C$4,$V268-4,0)&amp;"")</f>
        <v>O.M. Manufacturing (Thailand) Co., Ltd.</v>
      </c>
      <c r="S268" s="181" t="str">
        <f t="shared" ca="1" si="38"/>
        <v>TH</v>
      </c>
      <c r="T268" s="181" t="str">
        <f ca="1">IF(B268="","",IF(ISERROR(MATCH($J268,SorP!$B$1:$B$6226,0)),"",INDIRECT("'SorP'!$A$"&amp;MATCH($S268&amp;$J268,SorP!C:C,0))))</f>
        <v>TH-20</v>
      </c>
      <c r="U268" s="201"/>
      <c r="V268" s="226">
        <f>IF(C268="",NA(),IF(OR(C268="Smelter not listed",C268="Smelter not yet identified"),MATCH($B268&amp;$D268,'Smelter Look-up'!$J:$J,0),MATCH($B268&amp;$C268,'Smelter Look-up'!$J:$J,0)))</f>
        <v>490</v>
      </c>
      <c r="X268" s="227">
        <f t="shared" si="39"/>
        <v>0</v>
      </c>
      <c r="AB268" s="228" t="str">
        <f t="shared" si="40"/>
        <v>TinO.M. Manufacturing (Thailand) Co., Ltd.</v>
      </c>
    </row>
    <row r="269" spans="1:28" s="227" customFormat="1" ht="40.5">
      <c r="A269" s="181"/>
      <c r="B269" s="182" t="s">
        <v>1099</v>
      </c>
      <c r="C269" s="186" t="s">
        <v>14966</v>
      </c>
      <c r="D269" s="230" t="s">
        <v>14966</v>
      </c>
      <c r="E269" s="182" t="s">
        <v>854</v>
      </c>
      <c r="F269" s="182" t="s">
        <v>14967</v>
      </c>
      <c r="G269" s="182" t="s">
        <v>13177</v>
      </c>
      <c r="H269" s="183" t="s">
        <v>16147</v>
      </c>
      <c r="I269" s="184" t="s">
        <v>1548</v>
      </c>
      <c r="J269" s="184" t="s">
        <v>9952</v>
      </c>
      <c r="K269" s="224"/>
      <c r="L269" s="224"/>
      <c r="M269" s="224"/>
      <c r="N269" s="224">
        <v>-2146826246</v>
      </c>
      <c r="O269" s="224" t="s">
        <v>16431</v>
      </c>
      <c r="P269" s="185"/>
      <c r="Q269" s="225"/>
      <c r="R269" s="182" t="str">
        <f ca="1">IF(ISERROR($V269),"",OFFSET('Smelter Look-up'!$C$4,$V269-4,0)&amp;"")</f>
        <v>Novosibirsk Tin Combine</v>
      </c>
      <c r="S269" s="181" t="str">
        <f t="shared" ca="1" si="38"/>
        <v>RU</v>
      </c>
      <c r="T269" s="181" t="str">
        <f ca="1">IF(B269="","",IF(ISERROR(MATCH($J269,SorP!$B$1:$B$6226,0)),"",INDIRECT("'SorP'!$A$"&amp;MATCH($S269&amp;$J269,SorP!C:C,0))))</f>
        <v>RU-NVS</v>
      </c>
      <c r="U269" s="201"/>
      <c r="V269" s="226">
        <f>IF(C269="",NA(),IF(OR(C269="Smelter not listed",C269="Smelter not yet identified"),MATCH($B269&amp;$D269,'Smelter Look-up'!$J:$J,0),MATCH($B269&amp;$C269,'Smelter Look-up'!$J:$J,0)))</f>
        <v>488</v>
      </c>
      <c r="X269" s="227">
        <f t="shared" si="39"/>
        <v>0</v>
      </c>
      <c r="AB269" s="228" t="str">
        <f t="shared" si="40"/>
        <v>TinNovosibirsk Processing Plant Ltd.</v>
      </c>
    </row>
    <row r="270" spans="1:28" s="227" customFormat="1" ht="216">
      <c r="A270" s="181"/>
      <c r="B270" s="182" t="s">
        <v>1099</v>
      </c>
      <c r="C270" s="186" t="s">
        <v>13119</v>
      </c>
      <c r="D270" s="230" t="s">
        <v>13119</v>
      </c>
      <c r="E270" s="182" t="s">
        <v>1069</v>
      </c>
      <c r="F270" s="182" t="s">
        <v>1746</v>
      </c>
      <c r="G270" s="182" t="s">
        <v>13177</v>
      </c>
      <c r="H270" s="183" t="s">
        <v>16432</v>
      </c>
      <c r="I270" s="184" t="s">
        <v>1732</v>
      </c>
      <c r="J270" s="184" t="s">
        <v>13531</v>
      </c>
      <c r="K270" s="224"/>
      <c r="L270" s="224"/>
      <c r="M270" s="224"/>
      <c r="N270" s="224" t="s">
        <v>16433</v>
      </c>
      <c r="O270" s="224" t="s">
        <v>16434</v>
      </c>
      <c r="P270" s="185"/>
      <c r="Q270" s="225" t="s">
        <v>15840</v>
      </c>
      <c r="R270" s="182" t="str">
        <f ca="1">IF(ISERROR($V270),"",OFFSET('Smelter Look-up'!$C$4,$V270-4,0)&amp;"")</f>
        <v>Jiangxi New Nanshan Technology Ltd.</v>
      </c>
      <c r="S270" s="181" t="str">
        <f t="shared" ca="1" si="38"/>
        <v>CN</v>
      </c>
      <c r="T270" s="181" t="str">
        <f ca="1">IF(B270="","",IF(ISERROR(MATCH($J270,SorP!$B$1:$B$6226,0)),"",INDIRECT("'SorP'!$A$"&amp;MATCH($S270&amp;$J270,SorP!C:C,0))))</f>
        <v>CN-JX</v>
      </c>
      <c r="U270" s="201"/>
      <c r="V270" s="226">
        <f>IF(C270="",NA(),IF(OR(C270="Smelter not listed",C270="Smelter not yet identified"),MATCH($B270&amp;$D270,'Smelter Look-up'!$J:$J,0),MATCH($B270&amp;$C270,'Smelter Look-up'!$J:$J,0)))</f>
        <v>458</v>
      </c>
      <c r="X270" s="227">
        <f t="shared" si="39"/>
        <v>0</v>
      </c>
      <c r="AB270" s="228" t="str">
        <f t="shared" si="40"/>
        <v>TinJiangxi New Nanshan Technology Ltd.</v>
      </c>
    </row>
    <row r="271" spans="1:28" s="227" customFormat="1" ht="94.5">
      <c r="A271" s="181"/>
      <c r="B271" s="182" t="s">
        <v>1099</v>
      </c>
      <c r="C271" s="186" t="s">
        <v>1131</v>
      </c>
      <c r="D271" s="230" t="s">
        <v>1131</v>
      </c>
      <c r="E271" s="182" t="s">
        <v>1077</v>
      </c>
      <c r="F271" s="182" t="s">
        <v>755</v>
      </c>
      <c r="G271" s="182" t="s">
        <v>13177</v>
      </c>
      <c r="H271" s="183" t="s">
        <v>16435</v>
      </c>
      <c r="I271" s="184" t="s">
        <v>1509</v>
      </c>
      <c r="J271" s="184" t="s">
        <v>1509</v>
      </c>
      <c r="K271" s="224"/>
      <c r="L271" s="224"/>
      <c r="M271" s="224"/>
      <c r="N271" s="224" t="s">
        <v>16150</v>
      </c>
      <c r="O271" s="224" t="s">
        <v>16436</v>
      </c>
      <c r="P271" s="185"/>
      <c r="Q271" s="225" t="s">
        <v>15840</v>
      </c>
      <c r="R271" s="182" t="str">
        <f ca="1">IF(ISERROR($V271),"",OFFSET('Smelter Look-up'!$C$4,$V271-4,0)&amp;"")</f>
        <v>Mitsubishi Materials Corporation</v>
      </c>
      <c r="S271" s="181" t="str">
        <f t="shared" ca="1" si="38"/>
        <v>JP</v>
      </c>
      <c r="T271" s="181" t="str">
        <f ca="1">IF(B271="","",IF(ISERROR(MATCH($J271,SorP!$B$1:$B$6226,0)),"",INDIRECT("'SorP'!$A$"&amp;MATCH($S271&amp;$J271,SorP!C:C,0))))</f>
        <v>JP-13</v>
      </c>
      <c r="U271" s="201"/>
      <c r="V271" s="226">
        <f>IF(C271="",NA(),IF(OR(C271="Smelter not listed",C271="Smelter not yet identified"),MATCH($B271&amp;$D271,'Smelter Look-up'!$J:$J,0),MATCH($B271&amp;$C271,'Smelter Look-up'!$J:$J,0)))</f>
        <v>482</v>
      </c>
      <c r="X271" s="227">
        <f t="shared" si="39"/>
        <v>0</v>
      </c>
      <c r="AB271" s="228" t="str">
        <f t="shared" si="40"/>
        <v>TinMitsubishi Materials Corporation</v>
      </c>
    </row>
    <row r="272" spans="1:28" s="227" customFormat="1" ht="202.5">
      <c r="A272" s="181"/>
      <c r="B272" s="182" t="s">
        <v>1099</v>
      </c>
      <c r="C272" s="186" t="s">
        <v>1003</v>
      </c>
      <c r="D272" s="230" t="s">
        <v>1003</v>
      </c>
      <c r="E272" s="182" t="s">
        <v>851</v>
      </c>
      <c r="F272" s="182" t="s">
        <v>754</v>
      </c>
      <c r="G272" s="182" t="s">
        <v>13177</v>
      </c>
      <c r="H272" s="183" t="s">
        <v>16437</v>
      </c>
      <c r="I272" s="184" t="s">
        <v>1743</v>
      </c>
      <c r="J272" s="184" t="s">
        <v>9062</v>
      </c>
      <c r="K272" s="224"/>
      <c r="L272" s="224"/>
      <c r="M272" s="224"/>
      <c r="N272" s="224" t="s">
        <v>16438</v>
      </c>
      <c r="O272" s="224" t="s">
        <v>16439</v>
      </c>
      <c r="P272" s="185"/>
      <c r="Q272" s="225" t="s">
        <v>15840</v>
      </c>
      <c r="R272" s="182" t="str">
        <f ca="1">IF(ISERROR($V272),"",OFFSET('Smelter Look-up'!$C$4,$V272-4,0)&amp;"")</f>
        <v>Minsur</v>
      </c>
      <c r="S272" s="181" t="str">
        <f t="shared" ca="1" si="38"/>
        <v>PE</v>
      </c>
      <c r="T272" s="181" t="str">
        <f ca="1">IF(B272="","",IF(ISERROR(MATCH($J272,SorP!$B$1:$B$6226,0)),"",INDIRECT("'SorP'!$A$"&amp;MATCH($S272&amp;$J272,SorP!C:C,0))))</f>
        <v>PE-ICA</v>
      </c>
      <c r="U272" s="201"/>
      <c r="V272" s="226">
        <f>IF(C272="",NA(),IF(OR(C272="Smelter not listed",C272="Smelter not yet identified"),MATCH($B272&amp;$D272,'Smelter Look-up'!$J:$J,0),MATCH($B272&amp;$C272,'Smelter Look-up'!$J:$J,0)))</f>
        <v>481</v>
      </c>
      <c r="X272" s="227">
        <f t="shared" si="39"/>
        <v>0</v>
      </c>
      <c r="AB272" s="228" t="str">
        <f t="shared" si="40"/>
        <v>TinMinsur</v>
      </c>
    </row>
    <row r="273" spans="1:28" s="227" customFormat="1" ht="202.5">
      <c r="A273" s="181"/>
      <c r="B273" s="182" t="s">
        <v>1099</v>
      </c>
      <c r="C273" s="186" t="s">
        <v>12377</v>
      </c>
      <c r="D273" s="230" t="s">
        <v>12377</v>
      </c>
      <c r="E273" s="182" t="s">
        <v>1065</v>
      </c>
      <c r="F273" s="182" t="s">
        <v>753</v>
      </c>
      <c r="G273" s="182" t="s">
        <v>13177</v>
      </c>
      <c r="H273" s="183" t="s">
        <v>16440</v>
      </c>
      <c r="I273" s="184" t="s">
        <v>16441</v>
      </c>
      <c r="J273" s="184" t="s">
        <v>1640</v>
      </c>
      <c r="K273" s="224"/>
      <c r="L273" s="224"/>
      <c r="M273" s="224"/>
      <c r="N273" s="224" t="s">
        <v>16254</v>
      </c>
      <c r="O273" s="224" t="s">
        <v>16442</v>
      </c>
      <c r="P273" s="185"/>
      <c r="Q273" s="225" t="s">
        <v>15840</v>
      </c>
      <c r="R273" s="182" t="str">
        <f ca="1">IF(ISERROR($V273),"",OFFSET('Smelter Look-up'!$C$4,$V273-4,0)&amp;"")</f>
        <v>Mineracao Taboca S.A.</v>
      </c>
      <c r="S273" s="181" t="str">
        <f t="shared" ca="1" si="38"/>
        <v>BR</v>
      </c>
      <c r="T273" s="181" t="str">
        <f ca="1">IF(B273="","",IF(ISERROR(MATCH($J273,SorP!$B$1:$B$6226,0)),"",INDIRECT("'SorP'!$A$"&amp;MATCH($S273&amp;$J273,SorP!C:C,0))))</f>
        <v>BR-SP</v>
      </c>
      <c r="U273" s="201"/>
      <c r="V273" s="226">
        <f>IF(C273="",NA(),IF(OR(C273="Smelter not listed",C273="Smelter not yet identified"),MATCH($B273&amp;$D273,'Smelter Look-up'!$J:$J,0),MATCH($B273&amp;$C273,'Smelter Look-up'!$J:$J,0)))</f>
        <v>476</v>
      </c>
      <c r="X273" s="227">
        <f t="shared" si="39"/>
        <v>0</v>
      </c>
      <c r="AB273" s="228" t="str">
        <f t="shared" si="40"/>
        <v>TinMineracao Taboca S.A.</v>
      </c>
    </row>
    <row r="274" spans="1:28" s="227" customFormat="1" ht="27">
      <c r="A274" s="181"/>
      <c r="B274" s="182" t="s">
        <v>1099</v>
      </c>
      <c r="C274" s="186" t="s">
        <v>2104</v>
      </c>
      <c r="D274" s="230" t="s">
        <v>2104</v>
      </c>
      <c r="E274" s="182" t="s">
        <v>2384</v>
      </c>
      <c r="F274" s="182" t="s">
        <v>1740</v>
      </c>
      <c r="G274" s="182" t="s">
        <v>13177</v>
      </c>
      <c r="H274" s="183" t="s">
        <v>16443</v>
      </c>
      <c r="I274" s="184" t="s">
        <v>1741</v>
      </c>
      <c r="J274" s="184" t="s">
        <v>1601</v>
      </c>
      <c r="K274" s="224"/>
      <c r="L274" s="224"/>
      <c r="M274" s="224"/>
      <c r="N274" s="224" t="s">
        <v>15876</v>
      </c>
      <c r="O274" s="224" t="s">
        <v>16444</v>
      </c>
      <c r="P274" s="185"/>
      <c r="Q274" s="225" t="s">
        <v>15840</v>
      </c>
      <c r="R274" s="182" t="str">
        <f ca="1">IF(ISERROR($V274),"",OFFSET('Smelter Look-up'!$C$4,$V274-4,0)&amp;"")</f>
        <v>Metallic Resources, Inc.</v>
      </c>
      <c r="S274" s="181" t="str">
        <f t="shared" ca="1" si="38"/>
        <v>US</v>
      </c>
      <c r="T274" s="181" t="str">
        <f ca="1">IF(B274="","",IF(ISERROR(MATCH($J274,SorP!$B$1:$B$6226,0)),"",INDIRECT("'SorP'!$A$"&amp;MATCH($S274&amp;$J274,SorP!C:C,0))))</f>
        <v>US-OH</v>
      </c>
      <c r="U274" s="201"/>
      <c r="V274" s="226">
        <f>IF(C274="",NA(),IF(OR(C274="Smelter not listed",C274="Smelter not yet identified"),MATCH($B274&amp;$D274,'Smelter Look-up'!$J:$J,0),MATCH($B274&amp;$C274,'Smelter Look-up'!$J:$J,0)))</f>
        <v>473</v>
      </c>
      <c r="X274" s="227">
        <f t="shared" si="39"/>
        <v>0</v>
      </c>
      <c r="AB274" s="228" t="str">
        <f t="shared" si="40"/>
        <v>TinMetallic Resources, Inc.</v>
      </c>
    </row>
    <row r="275" spans="1:28" s="227" customFormat="1" ht="243">
      <c r="A275" s="181"/>
      <c r="B275" s="182" t="s">
        <v>1099</v>
      </c>
      <c r="C275" s="186" t="s">
        <v>793</v>
      </c>
      <c r="D275" s="230" t="s">
        <v>793</v>
      </c>
      <c r="E275" s="182" t="s">
        <v>1084</v>
      </c>
      <c r="F275" s="182" t="s">
        <v>752</v>
      </c>
      <c r="G275" s="182" t="s">
        <v>13177</v>
      </c>
      <c r="H275" s="183" t="s">
        <v>16445</v>
      </c>
      <c r="I275" s="184" t="s">
        <v>1739</v>
      </c>
      <c r="J275" s="184" t="s">
        <v>8635</v>
      </c>
      <c r="K275" s="224"/>
      <c r="L275" s="224"/>
      <c r="M275" s="224"/>
      <c r="N275" s="224" t="s">
        <v>16446</v>
      </c>
      <c r="O275" s="224" t="s">
        <v>16447</v>
      </c>
      <c r="P275" s="185"/>
      <c r="Q275" s="225" t="s">
        <v>15840</v>
      </c>
      <c r="R275" s="182" t="str">
        <f ca="1">IF(ISERROR($V275),"",OFFSET('Smelter Look-up'!$C$4,$V275-4,0)&amp;"")</f>
        <v>Malaysia Smelting Corporation (MSC)</v>
      </c>
      <c r="S275" s="181" t="str">
        <f t="shared" ca="1" si="38"/>
        <v>MY</v>
      </c>
      <c r="T275" s="181" t="str">
        <f ca="1">IF(B275="","",IF(ISERROR(MATCH($J275,SorP!$B$1:$B$6226,0)),"",INDIRECT("'SorP'!$A$"&amp;MATCH($S275&amp;$J275,SorP!C:C,0))))</f>
        <v>MY-07</v>
      </c>
      <c r="U275" s="201"/>
      <c r="V275" s="226">
        <f>IF(C275="",NA(),IF(OR(C275="Smelter not listed",C275="Smelter not yet identified"),MATCH($B275&amp;$D275,'Smelter Look-up'!$J:$J,0),MATCH($B275&amp;$C275,'Smelter Look-up'!$J:$J,0)))</f>
        <v>468</v>
      </c>
      <c r="X275" s="227">
        <f t="shared" si="39"/>
        <v>0</v>
      </c>
      <c r="AB275" s="228" t="str">
        <f t="shared" si="40"/>
        <v>TinMalaysia Smelting Corporation (MSC)</v>
      </c>
    </row>
    <row r="276" spans="1:28" s="227" customFormat="1" ht="135">
      <c r="A276" s="181"/>
      <c r="B276" s="182" t="s">
        <v>1099</v>
      </c>
      <c r="C276" s="186" t="s">
        <v>1293</v>
      </c>
      <c r="D276" s="230" t="s">
        <v>1293</v>
      </c>
      <c r="E276" s="182" t="s">
        <v>1069</v>
      </c>
      <c r="F276" s="182" t="s">
        <v>751</v>
      </c>
      <c r="G276" s="182" t="s">
        <v>13177</v>
      </c>
      <c r="H276" s="183" t="s">
        <v>16448</v>
      </c>
      <c r="I276" s="184" t="s">
        <v>1734</v>
      </c>
      <c r="J276" s="184" t="s">
        <v>13515</v>
      </c>
      <c r="K276" s="224"/>
      <c r="L276" s="224"/>
      <c r="M276" s="224"/>
      <c r="N276" s="224" t="s">
        <v>16449</v>
      </c>
      <c r="O276" s="224" t="s">
        <v>16450</v>
      </c>
      <c r="P276" s="185"/>
      <c r="Q276" s="225" t="s">
        <v>15840</v>
      </c>
      <c r="R276" s="182" t="str">
        <f ca="1">IF(ISERROR($V276),"",OFFSET('Smelter Look-up'!$C$4,$V276-4,0)&amp;"")</f>
        <v>China Tin Group Co., Ltd.</v>
      </c>
      <c r="S276" s="181" t="str">
        <f t="shared" ca="1" si="38"/>
        <v>CN</v>
      </c>
      <c r="T276" s="181" t="str">
        <f ca="1">IF(B276="","",IF(ISERROR(MATCH($J276,SorP!$B$1:$B$6226,0)),"",INDIRECT("'SorP'!$A$"&amp;MATCH($S276&amp;$J276,SorP!C:C,0))))</f>
        <v>CN-GX</v>
      </c>
      <c r="U276" s="201"/>
      <c r="V276" s="226">
        <f>IF(C276="",NA(),IF(OR(C276="Smelter not listed",C276="Smelter not yet identified"),MATCH($B276&amp;$D276,'Smelter Look-up'!$J:$J,0),MATCH($B276&amp;$C276,'Smelter Look-up'!$J:$J,0)))</f>
        <v>411</v>
      </c>
      <c r="X276" s="227">
        <f t="shared" si="39"/>
        <v>0</v>
      </c>
      <c r="AB276" s="228" t="str">
        <f t="shared" si="40"/>
        <v>TinChina Tin Group Co., Ltd.</v>
      </c>
    </row>
    <row r="277" spans="1:28" s="227" customFormat="1" ht="54">
      <c r="A277" s="181"/>
      <c r="B277" s="182" t="s">
        <v>1099</v>
      </c>
      <c r="C277" s="186" t="s">
        <v>1389</v>
      </c>
      <c r="D277" s="230" t="s">
        <v>1389</v>
      </c>
      <c r="E277" s="182" t="s">
        <v>1069</v>
      </c>
      <c r="F277" s="182" t="s">
        <v>750</v>
      </c>
      <c r="G277" s="182" t="s">
        <v>13177</v>
      </c>
      <c r="H277" s="183" t="s">
        <v>16294</v>
      </c>
      <c r="I277" s="184" t="s">
        <v>2398</v>
      </c>
      <c r="J277" s="184" t="s">
        <v>13540</v>
      </c>
      <c r="K277" s="224"/>
      <c r="L277" s="224"/>
      <c r="M277" s="224"/>
      <c r="N277" s="224">
        <v>-2146826246</v>
      </c>
      <c r="O277" s="224" t="s">
        <v>16451</v>
      </c>
      <c r="P277" s="185"/>
      <c r="Q277" s="225"/>
      <c r="R277" s="182" t="str">
        <f ca="1">IF(ISERROR($V277),"",OFFSET('Smelter Look-up'!$C$4,$V277-4,0)&amp;"")</f>
        <v>Gejiu Kai Meng Industry and Trade LLC</v>
      </c>
      <c r="S277" s="181" t="str">
        <f t="shared" ca="1" si="38"/>
        <v>CN</v>
      </c>
      <c r="T277" s="181" t="str">
        <f ca="1">IF(B277="","",IF(ISERROR(MATCH($J277,SorP!$B$1:$B$6226,0)),"",INDIRECT("'SorP'!$A$"&amp;MATCH($S277&amp;$J277,SorP!C:C,0))))</f>
        <v>CN-YN</v>
      </c>
      <c r="U277" s="201"/>
      <c r="V277" s="226">
        <f>IF(C277="",NA(),IF(OR(C277="Smelter not listed",C277="Smelter not yet identified"),MATCH($B277&amp;$D277,'Smelter Look-up'!$J:$J,0),MATCH($B277&amp;$C277,'Smelter Look-up'!$J:$J,0)))</f>
        <v>442</v>
      </c>
      <c r="X277" s="227">
        <f t="shared" si="39"/>
        <v>0</v>
      </c>
      <c r="AB277" s="228" t="str">
        <f t="shared" si="40"/>
        <v>TinGejiu Kai Meng Industry and Trade LLC</v>
      </c>
    </row>
    <row r="278" spans="1:28" s="227" customFormat="1" ht="54">
      <c r="A278" s="181"/>
      <c r="B278" s="182" t="s">
        <v>1099</v>
      </c>
      <c r="C278" s="186" t="s">
        <v>1731</v>
      </c>
      <c r="D278" s="230" t="s">
        <v>1731</v>
      </c>
      <c r="E278" s="182" t="s">
        <v>1069</v>
      </c>
      <c r="F278" s="182" t="s">
        <v>749</v>
      </c>
      <c r="G278" s="182" t="s">
        <v>13177</v>
      </c>
      <c r="H278" s="183" t="s">
        <v>16294</v>
      </c>
      <c r="I278" s="184" t="s">
        <v>2398</v>
      </c>
      <c r="J278" s="184" t="s">
        <v>13540</v>
      </c>
      <c r="K278" s="224"/>
      <c r="L278" s="224"/>
      <c r="M278" s="224"/>
      <c r="N278" s="224" t="s">
        <v>16254</v>
      </c>
      <c r="O278" s="224" t="s">
        <v>16452</v>
      </c>
      <c r="P278" s="185"/>
      <c r="Q278" s="225" t="s">
        <v>15840</v>
      </c>
      <c r="R278" s="182" t="str">
        <f ca="1">IF(ISERROR($V278),"",OFFSET('Smelter Look-up'!$C$4,$V278-4,0)&amp;"")</f>
        <v>Gejiu Zili Mining And Metallurgy Co., Ltd.</v>
      </c>
      <c r="S278" s="181" t="str">
        <f t="shared" ca="1" si="38"/>
        <v>CN</v>
      </c>
      <c r="T278" s="181" t="str">
        <f ca="1">IF(B278="","",IF(ISERROR(MATCH($J278,SorP!$B$1:$B$6226,0)),"",INDIRECT("'SorP'!$A$"&amp;MATCH($S278&amp;$J278,SorP!C:C,0))))</f>
        <v>CN-YN</v>
      </c>
      <c r="U278" s="201"/>
      <c r="V278" s="226">
        <f>IF(C278="",NA(),IF(OR(C278="Smelter not listed",C278="Smelter not yet identified"),MATCH($B278&amp;$D278,'Smelter Look-up'!$J:$J,0),MATCH($B278&amp;$C278,'Smelter Look-up'!$J:$J,0)))</f>
        <v>446</v>
      </c>
      <c r="X278" s="227">
        <f t="shared" si="39"/>
        <v>0</v>
      </c>
      <c r="AB278" s="228" t="str">
        <f t="shared" si="40"/>
        <v>TinGejiu Zili Mining And Metallurgy Co., Ltd.</v>
      </c>
    </row>
    <row r="279" spans="1:28" s="227" customFormat="1" ht="216">
      <c r="A279" s="181"/>
      <c r="B279" s="182" t="s">
        <v>1099</v>
      </c>
      <c r="C279" s="186" t="s">
        <v>2099</v>
      </c>
      <c r="D279" s="230" t="s">
        <v>2099</v>
      </c>
      <c r="E279" s="182" t="s">
        <v>1069</v>
      </c>
      <c r="F279" s="182" t="s">
        <v>748</v>
      </c>
      <c r="G279" s="182" t="s">
        <v>13177</v>
      </c>
      <c r="H279" s="183" t="s">
        <v>16294</v>
      </c>
      <c r="I279" s="184" t="s">
        <v>2398</v>
      </c>
      <c r="J279" s="184" t="s">
        <v>13540</v>
      </c>
      <c r="K279" s="224"/>
      <c r="L279" s="224"/>
      <c r="M279" s="224"/>
      <c r="N279" s="224" t="s">
        <v>16254</v>
      </c>
      <c r="O279" s="224" t="s">
        <v>16453</v>
      </c>
      <c r="P279" s="185"/>
      <c r="Q279" s="225" t="s">
        <v>15840</v>
      </c>
      <c r="R279" s="182" t="str">
        <f ca="1">IF(ISERROR($V279),"",OFFSET('Smelter Look-up'!$C$4,$V279-4,0)&amp;"")</f>
        <v>Gejiu Non-Ferrous Metal Processing Co., Ltd.</v>
      </c>
      <c r="S279" s="181" t="str">
        <f t="shared" ca="1" si="38"/>
        <v>CN</v>
      </c>
      <c r="T279" s="181" t="str">
        <f ca="1">IF(B279="","",IF(ISERROR(MATCH($J279,SorP!$B$1:$B$6226,0)),"",INDIRECT("'SorP'!$A$"&amp;MATCH($S279&amp;$J279,SorP!C:C,0))))</f>
        <v>CN-YN</v>
      </c>
      <c r="U279" s="201"/>
      <c r="V279" s="226">
        <f>IF(C279="",NA(),IF(OR(C279="Smelter not listed",C279="Smelter not yet identified"),MATCH($B279&amp;$D279,'Smelter Look-up'!$J:$J,0),MATCH($B279&amp;$C279,'Smelter Look-up'!$J:$J,0)))</f>
        <v>443</v>
      </c>
      <c r="X279" s="227">
        <f t="shared" si="39"/>
        <v>0</v>
      </c>
      <c r="AB279" s="228" t="str">
        <f t="shared" si="40"/>
        <v>TinGejiu Non-Ferrous Metal Processing Co., Ltd.</v>
      </c>
    </row>
    <row r="280" spans="1:28" s="227" customFormat="1" ht="67.5">
      <c r="A280" s="181"/>
      <c r="B280" s="182" t="s">
        <v>1099</v>
      </c>
      <c r="C280" s="186" t="s">
        <v>788</v>
      </c>
      <c r="D280" s="230" t="s">
        <v>788</v>
      </c>
      <c r="E280" s="182" t="s">
        <v>853</v>
      </c>
      <c r="F280" s="182" t="s">
        <v>747</v>
      </c>
      <c r="G280" s="182" t="s">
        <v>13177</v>
      </c>
      <c r="H280" s="183" t="s">
        <v>16454</v>
      </c>
      <c r="I280" s="184" t="s">
        <v>1730</v>
      </c>
      <c r="J280" s="184" t="s">
        <v>9448</v>
      </c>
      <c r="K280" s="224"/>
      <c r="L280" s="224"/>
      <c r="M280" s="224"/>
      <c r="N280" s="224" t="s">
        <v>16330</v>
      </c>
      <c r="O280" s="224" t="s">
        <v>16455</v>
      </c>
      <c r="P280" s="185"/>
      <c r="Q280" s="225" t="s">
        <v>15840</v>
      </c>
      <c r="R280" s="182" t="str">
        <f ca="1">IF(ISERROR($V280),"",OFFSET('Smelter Look-up'!$C$4,$V280-4,0)&amp;"")</f>
        <v>Fenix Metals</v>
      </c>
      <c r="S280" s="181" t="str">
        <f t="shared" ca="1" si="38"/>
        <v>PL</v>
      </c>
      <c r="T280" s="181" t="str">
        <f ca="1">IF(B280="","",IF(ISERROR(MATCH($J280,SorP!$B$1:$B$6226,0)),"",INDIRECT("'SorP'!$A$"&amp;MATCH($S280&amp;$J280,SorP!C:C,0))))</f>
        <v>PL-18</v>
      </c>
      <c r="U280" s="201"/>
      <c r="V280" s="226">
        <f>IF(C280="",NA(),IF(OR(C280="Smelter not listed",C280="Smelter not yet identified"),MATCH($B280&amp;$D280,'Smelter Look-up'!$J:$J,0),MATCH($B280&amp;$C280,'Smelter Look-up'!$J:$J,0)))</f>
        <v>437</v>
      </c>
      <c r="X280" s="227">
        <f t="shared" si="39"/>
        <v>0</v>
      </c>
      <c r="AB280" s="228" t="str">
        <f t="shared" si="40"/>
        <v>TinFenix Metals</v>
      </c>
    </row>
    <row r="281" spans="1:28" s="227" customFormat="1" ht="20">
      <c r="A281" s="181"/>
      <c r="B281" s="182" t="s">
        <v>1099</v>
      </c>
      <c r="C281" s="186" t="s">
        <v>12373</v>
      </c>
      <c r="D281" s="230" t="s">
        <v>12373</v>
      </c>
      <c r="E281" s="182" t="s">
        <v>1065</v>
      </c>
      <c r="F281" s="182" t="s">
        <v>746</v>
      </c>
      <c r="G281" s="182" t="s">
        <v>13177</v>
      </c>
      <c r="H281" s="183" t="s">
        <v>16347</v>
      </c>
      <c r="I281" s="184" t="s">
        <v>1725</v>
      </c>
      <c r="J281" s="184" t="s">
        <v>1729</v>
      </c>
      <c r="K281" s="224"/>
      <c r="L281" s="224"/>
      <c r="M281" s="224"/>
      <c r="N281" s="224" t="s">
        <v>12533</v>
      </c>
      <c r="O281" s="224" t="s">
        <v>16456</v>
      </c>
      <c r="P281" s="185"/>
      <c r="Q281" s="225" t="s">
        <v>15840</v>
      </c>
      <c r="R281" s="182" t="str">
        <f ca="1">IF(ISERROR($V281),"",OFFSET('Smelter Look-up'!$C$4,$V281-4,0)&amp;"")</f>
        <v>Estanho de Rondonia S.A.</v>
      </c>
      <c r="S281" s="181" t="str">
        <f t="shared" ca="1" si="38"/>
        <v>BR</v>
      </c>
      <c r="T281" s="181" t="str">
        <f ca="1">IF(B281="","",IF(ISERROR(MATCH($J281,SorP!$B$1:$B$6226,0)),"",INDIRECT("'SorP'!$A$"&amp;MATCH($S281&amp;$J281,SorP!C:C,0))))</f>
        <v>BR-RO</v>
      </c>
      <c r="U281" s="201"/>
      <c r="V281" s="226">
        <f>IF(C281="",NA(),IF(OR(C281="Smelter not listed",C281="Smelter not yet identified"),MATCH($B281&amp;$D281,'Smelter Look-up'!$J:$J,0),MATCH($B281&amp;$C281,'Smelter Look-up'!$J:$J,0)))</f>
        <v>432</v>
      </c>
      <c r="X281" s="227">
        <f t="shared" si="39"/>
        <v>0</v>
      </c>
      <c r="AB281" s="228" t="str">
        <f t="shared" si="40"/>
        <v>TinEstanho de Rondonia S.A.</v>
      </c>
    </row>
    <row r="282" spans="1:28" s="227" customFormat="1" ht="216">
      <c r="A282" s="181"/>
      <c r="B282" s="182" t="s">
        <v>1099</v>
      </c>
      <c r="C282" s="186" t="s">
        <v>814</v>
      </c>
      <c r="D282" s="230" t="s">
        <v>814</v>
      </c>
      <c r="E282" s="182" t="s">
        <v>2382</v>
      </c>
      <c r="F282" s="182" t="s">
        <v>745</v>
      </c>
      <c r="G282" s="182" t="s">
        <v>13177</v>
      </c>
      <c r="H282" s="183" t="s">
        <v>16426</v>
      </c>
      <c r="I282" s="184" t="s">
        <v>1728</v>
      </c>
      <c r="J282" s="184" t="s">
        <v>1728</v>
      </c>
      <c r="K282" s="224"/>
      <c r="L282" s="224"/>
      <c r="M282" s="224"/>
      <c r="N282" s="224" t="s">
        <v>16254</v>
      </c>
      <c r="O282" s="224" t="s">
        <v>16457</v>
      </c>
      <c r="P282" s="185"/>
      <c r="Q282" s="225" t="s">
        <v>15840</v>
      </c>
      <c r="R282" s="182" t="str">
        <f ca="1">IF(ISERROR($V282),"",OFFSET('Smelter Look-up'!$C$4,$V282-4,0)&amp;"")</f>
        <v>EM Vinto</v>
      </c>
      <c r="S282" s="181" t="str">
        <f t="shared" ca="1" si="38"/>
        <v>BO</v>
      </c>
      <c r="T282" s="181" t="str">
        <f ca="1">IF(B282="","",IF(ISERROR(MATCH($J282,SorP!$B$1:$B$6226,0)),"",INDIRECT("'SorP'!$A$"&amp;MATCH($S282&amp;$J282,SorP!C:C,0))))</f>
        <v>BO-O</v>
      </c>
      <c r="U282" s="201"/>
      <c r="V282" s="226">
        <f>IF(C282="",NA(),IF(OR(C282="Smelter not listed",C282="Smelter not yet identified"),MATCH($B282&amp;$D282,'Smelter Look-up'!$J:$J,0),MATCH($B282&amp;$C282,'Smelter Look-up'!$J:$J,0)))</f>
        <v>428</v>
      </c>
      <c r="X282" s="227">
        <f t="shared" si="39"/>
        <v>0</v>
      </c>
      <c r="AB282" s="228" t="str">
        <f t="shared" si="40"/>
        <v>TinEM Vinto</v>
      </c>
    </row>
    <row r="283" spans="1:28" s="227" customFormat="1" ht="27">
      <c r="A283" s="181"/>
      <c r="B283" s="182" t="s">
        <v>1099</v>
      </c>
      <c r="C283" s="186" t="s">
        <v>877</v>
      </c>
      <c r="D283" s="230" t="s">
        <v>877</v>
      </c>
      <c r="E283" s="182" t="s">
        <v>1077</v>
      </c>
      <c r="F283" s="182" t="s">
        <v>1374</v>
      </c>
      <c r="G283" s="182" t="s">
        <v>13177</v>
      </c>
      <c r="H283" s="183" t="s">
        <v>16152</v>
      </c>
      <c r="I283" s="184" t="s">
        <v>1541</v>
      </c>
      <c r="J283" s="184" t="s">
        <v>1542</v>
      </c>
      <c r="K283" s="224"/>
      <c r="L283" s="224"/>
      <c r="M283" s="224"/>
      <c r="N283" s="224" t="s">
        <v>16150</v>
      </c>
      <c r="O283" s="224" t="s">
        <v>16458</v>
      </c>
      <c r="P283" s="185"/>
      <c r="Q283" s="225" t="s">
        <v>15840</v>
      </c>
      <c r="R283" s="182" t="str">
        <f ca="1">IF(ISERROR($V283),"",OFFSET('Smelter Look-up'!$C$4,$V283-4,0)&amp;"")</f>
        <v>Dowa</v>
      </c>
      <c r="S283" s="181" t="str">
        <f t="shared" ca="1" si="38"/>
        <v>JP</v>
      </c>
      <c r="T283" s="181" t="str">
        <f ca="1">IF(B283="","",IF(ISERROR(MATCH($J283,SorP!$B$1:$B$6226,0)),"",INDIRECT("'SorP'!$A$"&amp;MATCH($S283&amp;$J283,SorP!C:C,0))))</f>
        <v>JP-05</v>
      </c>
      <c r="U283" s="201"/>
      <c r="V283" s="226">
        <f>IF(C283="",NA(),IF(OR(C283="Smelter not listed",C283="Smelter not yet identified"),MATCH($B283&amp;$D283,'Smelter Look-up'!$J:$J,0),MATCH($B283&amp;$C283,'Smelter Look-up'!$J:$J,0)))</f>
        <v>425</v>
      </c>
      <c r="X283" s="227">
        <f t="shared" si="39"/>
        <v>0</v>
      </c>
      <c r="AB283" s="228" t="str">
        <f t="shared" si="40"/>
        <v>TinDowa</v>
      </c>
    </row>
    <row r="284" spans="1:28" s="227" customFormat="1" ht="108">
      <c r="A284" s="181"/>
      <c r="B284" s="182" t="s">
        <v>1099</v>
      </c>
      <c r="C284" s="186" t="s">
        <v>16459</v>
      </c>
      <c r="D284" s="230" t="s">
        <v>16459</v>
      </c>
      <c r="E284" s="182" t="s">
        <v>1074</v>
      </c>
      <c r="F284" s="182" t="s">
        <v>16460</v>
      </c>
      <c r="G284" s="182" t="s">
        <v>13177</v>
      </c>
      <c r="H284" s="183" t="s">
        <v>16461</v>
      </c>
      <c r="I284" s="184" t="s">
        <v>16462</v>
      </c>
      <c r="J284" s="184" t="s">
        <v>12799</v>
      </c>
      <c r="K284" s="224"/>
      <c r="L284" s="224"/>
      <c r="M284" s="224"/>
      <c r="N284" s="224">
        <v>-2146826246</v>
      </c>
      <c r="O284" s="224" t="s">
        <v>16463</v>
      </c>
      <c r="P284" s="185"/>
      <c r="Q284" s="225"/>
      <c r="R284" s="182" t="str">
        <f ca="1">IF(ISERROR($V284),"",OFFSET('Smelter Look-up'!$C$4,$V284-4,0)&amp;"")</f>
        <v/>
      </c>
      <c r="S284" s="181" t="str">
        <f t="shared" ca="1" si="38"/>
        <v>ID</v>
      </c>
      <c r="T284" s="181" t="str">
        <f ca="1">IF(B284="","",IF(ISERROR(MATCH($J284,SorP!$B$1:$B$6226,0)),"",INDIRECT("'SorP'!$A$"&amp;MATCH($S284&amp;$J284,SorP!C:C,0))))</f>
        <v>ID-BB</v>
      </c>
      <c r="U284" s="201"/>
      <c r="V284" s="226" t="e">
        <f>IF(C284="",NA(),IF(OR(C284="Smelter not listed",C284="Smelter not yet identified"),MATCH($B284&amp;$D284,'Smelter Look-up'!$J:$J,0),MATCH($B284&amp;$C284,'Smelter Look-up'!$J:$J,0)))</f>
        <v>#N/A</v>
      </c>
      <c r="X284" s="227">
        <f t="shared" si="39"/>
        <v>0</v>
      </c>
      <c r="AB284" s="228" t="str">
        <f t="shared" si="40"/>
        <v>TinPT Aries Kencana Sejahtera</v>
      </c>
    </row>
    <row r="285" spans="1:28" s="227" customFormat="1" ht="229.5">
      <c r="A285" s="181"/>
      <c r="B285" s="182" t="s">
        <v>1099</v>
      </c>
      <c r="C285" s="186" t="s">
        <v>16464</v>
      </c>
      <c r="D285" s="230" t="s">
        <v>16464</v>
      </c>
      <c r="E285" s="182" t="s">
        <v>2384</v>
      </c>
      <c r="F285" s="182" t="s">
        <v>744</v>
      </c>
      <c r="G285" s="182" t="s">
        <v>13177</v>
      </c>
      <c r="H285" s="183" t="s">
        <v>16465</v>
      </c>
      <c r="I285" s="184" t="s">
        <v>1719</v>
      </c>
      <c r="J285" s="184" t="s">
        <v>1699</v>
      </c>
      <c r="K285" s="224"/>
      <c r="L285" s="224"/>
      <c r="M285" s="224"/>
      <c r="N285" s="224" t="s">
        <v>15876</v>
      </c>
      <c r="O285" s="224" t="s">
        <v>16466</v>
      </c>
      <c r="P285" s="185"/>
      <c r="Q285" s="225" t="s">
        <v>15840</v>
      </c>
      <c r="R285" s="182" t="str">
        <f ca="1">IF(ISERROR($V285),"",OFFSET('Smelter Look-up'!$C$4,$V285-4,0)&amp;"")</f>
        <v/>
      </c>
      <c r="S285" s="181" t="str">
        <f t="shared" ca="1" si="38"/>
        <v>US</v>
      </c>
      <c r="T285" s="181" t="str">
        <f ca="1">IF(B285="","",IF(ISERROR(MATCH($J285,SorP!$B$1:$B$6226,0)),"",INDIRECT("'SorP'!$A$"&amp;MATCH($S285&amp;$J285,SorP!C:C,0))))</f>
        <v>US-PA</v>
      </c>
      <c r="U285" s="201"/>
      <c r="V285" s="226" t="e">
        <f>IF(C285="",NA(),IF(OR(C285="Smelter not listed",C285="Smelter not yet identified"),MATCH($B285&amp;$D285,'Smelter Look-up'!$J:$J,0),MATCH($B285&amp;$C285,'Smelter Look-up'!$J:$J,0)))</f>
        <v>#N/A</v>
      </c>
      <c r="X285" s="227">
        <f t="shared" si="39"/>
        <v>0</v>
      </c>
      <c r="AB285" s="228" t="str">
        <f t="shared" si="40"/>
        <v>TinAlpha</v>
      </c>
    </row>
    <row r="286" spans="1:28" s="227" customFormat="1" ht="40.5">
      <c r="A286" s="181"/>
      <c r="B286" s="182" t="s">
        <v>1099</v>
      </c>
      <c r="C286" s="186" t="s">
        <v>2287</v>
      </c>
      <c r="D286" s="230" t="s">
        <v>2287</v>
      </c>
      <c r="E286" s="182" t="s">
        <v>1069</v>
      </c>
      <c r="F286" s="182" t="s">
        <v>2230</v>
      </c>
      <c r="G286" s="182" t="s">
        <v>13177</v>
      </c>
      <c r="H286" s="183" t="s">
        <v>16467</v>
      </c>
      <c r="I286" s="184" t="s">
        <v>1733</v>
      </c>
      <c r="J286" s="184" t="s">
        <v>13535</v>
      </c>
      <c r="K286" s="224"/>
      <c r="L286" s="224"/>
      <c r="M286" s="224"/>
      <c r="N286" s="224" t="s">
        <v>15957</v>
      </c>
      <c r="O286" s="224" t="s">
        <v>16468</v>
      </c>
      <c r="P286" s="185"/>
      <c r="Q286" s="225" t="s">
        <v>15840</v>
      </c>
      <c r="R286" s="182" t="str">
        <f ca="1">IF(ISERROR($V286),"",OFFSET('Smelter Look-up'!$C$4,$V286-4,0)&amp;"")</f>
        <v>Chenzhou Yunxiang Mining and Metallurgy Co., Ltd.</v>
      </c>
      <c r="S286" s="181" t="str">
        <f t="shared" ca="1" si="38"/>
        <v>CN</v>
      </c>
      <c r="T286" s="181" t="str">
        <f ca="1">IF(B286="","",IF(ISERROR(MATCH($J286,SorP!$B$1:$B$6226,0)),"",INDIRECT("'SorP'!$A$"&amp;MATCH($S286&amp;$J286,SorP!C:C,0))))</f>
        <v>CN-HN</v>
      </c>
      <c r="U286" s="201"/>
      <c r="V286" s="226">
        <f>IF(C286="",NA(),IF(OR(C286="Smelter not listed",C286="Smelter not yet identified"),MATCH($B286&amp;$D286,'Smelter Look-up'!$J:$J,0),MATCH($B286&amp;$C286,'Smelter Look-up'!$J:$J,0)))</f>
        <v>408</v>
      </c>
      <c r="X286" s="227">
        <f t="shared" si="39"/>
        <v>0</v>
      </c>
      <c r="AB286" s="228" t="str">
        <f t="shared" si="40"/>
        <v>TinChenzhou Yunxiang Mining and Metallurgy Co., Ltd.</v>
      </c>
    </row>
    <row r="287" spans="1:28" s="227" customFormat="1" ht="27">
      <c r="A287" s="181"/>
      <c r="B287" s="182" t="s">
        <v>1101</v>
      </c>
      <c r="C287" s="186" t="s">
        <v>14974</v>
      </c>
      <c r="D287" s="230" t="s">
        <v>14974</v>
      </c>
      <c r="E287" s="182" t="s">
        <v>854</v>
      </c>
      <c r="F287" s="182" t="s">
        <v>14975</v>
      </c>
      <c r="G287" s="182" t="s">
        <v>13177</v>
      </c>
      <c r="H287" s="183" t="s">
        <v>16469</v>
      </c>
      <c r="I287" s="184" t="s">
        <v>14991</v>
      </c>
      <c r="J287" s="184" t="s">
        <v>9906</v>
      </c>
      <c r="K287" s="224"/>
      <c r="L287" s="224"/>
      <c r="M287" s="224"/>
      <c r="N287" s="224">
        <v>-2146826246</v>
      </c>
      <c r="O287" s="224" t="s">
        <v>15835</v>
      </c>
      <c r="P287" s="185"/>
      <c r="Q287" s="225"/>
      <c r="R287" s="182" t="str">
        <f ca="1">IF(ISERROR($V287),"",OFFSET('Smelter Look-up'!$C$4,$V287-4,0)&amp;"")</f>
        <v>OOO “Technolom” 1</v>
      </c>
      <c r="S287" s="181" t="str">
        <f t="shared" ca="1" si="38"/>
        <v>RU</v>
      </c>
      <c r="T287" s="181" t="str">
        <f ca="1">IF(B287="","",IF(ISERROR(MATCH($J287,SorP!$B$1:$B$6226,0)),"",INDIRECT("'SorP'!$A$"&amp;MATCH($S287&amp;$J287,SorP!C:C,0))))</f>
        <v>RU-MOS</v>
      </c>
      <c r="U287" s="201"/>
      <c r="V287" s="226">
        <f>IF(C287="",NA(),IF(OR(C287="Smelter not listed",C287="Smelter not yet identified"),MATCH($B287&amp;$D287,'Smelter Look-up'!$J:$J,0),MATCH($B287&amp;$C287,'Smelter Look-up'!$J:$J,0)))</f>
        <v>619</v>
      </c>
      <c r="X287" s="227">
        <f t="shared" si="39"/>
        <v>0</v>
      </c>
      <c r="AB287" s="228" t="str">
        <f t="shared" si="40"/>
        <v>TungstenOOO “Technolom” 1</v>
      </c>
    </row>
    <row r="288" spans="1:28" s="227" customFormat="1" ht="27">
      <c r="A288" s="181"/>
      <c r="B288" s="182" t="s">
        <v>1101</v>
      </c>
      <c r="C288" s="186" t="s">
        <v>14976</v>
      </c>
      <c r="D288" s="230" t="s">
        <v>14976</v>
      </c>
      <c r="E288" s="182" t="s">
        <v>854</v>
      </c>
      <c r="F288" s="182" t="s">
        <v>14977</v>
      </c>
      <c r="G288" s="182" t="s">
        <v>13177</v>
      </c>
      <c r="H288" s="183" t="s">
        <v>16470</v>
      </c>
      <c r="I288" s="184" t="s">
        <v>14991</v>
      </c>
      <c r="J288" s="184" t="s">
        <v>9906</v>
      </c>
      <c r="K288" s="224"/>
      <c r="L288" s="224"/>
      <c r="M288" s="224"/>
      <c r="N288" s="224">
        <v>-2146826246</v>
      </c>
      <c r="O288" s="224" t="s">
        <v>15835</v>
      </c>
      <c r="P288" s="185"/>
      <c r="Q288" s="225"/>
      <c r="R288" s="182" t="str">
        <f ca="1">IF(ISERROR($V288),"",OFFSET('Smelter Look-up'!$C$4,$V288-4,0)&amp;"")</f>
        <v>OOO “Technolom” 2</v>
      </c>
      <c r="S288" s="181" t="str">
        <f t="shared" ca="1" si="38"/>
        <v>RU</v>
      </c>
      <c r="T288" s="181" t="str">
        <f ca="1">IF(B288="","",IF(ISERROR(MATCH($J288,SorP!$B$1:$B$6226,0)),"",INDIRECT("'SorP'!$A$"&amp;MATCH($S288&amp;$J288,SorP!C:C,0))))</f>
        <v>RU-MOS</v>
      </c>
      <c r="U288" s="201"/>
      <c r="V288" s="226">
        <f>IF(C288="",NA(),IF(OR(C288="Smelter not listed",C288="Smelter not yet identified"),MATCH($B288&amp;$D288,'Smelter Look-up'!$J:$J,0),MATCH($B288&amp;$C288,'Smelter Look-up'!$J:$J,0)))</f>
        <v>620</v>
      </c>
      <c r="X288" s="227">
        <f t="shared" si="39"/>
        <v>0</v>
      </c>
      <c r="AB288" s="228" t="str">
        <f t="shared" si="40"/>
        <v>TungstenOOO “Technolom” 2</v>
      </c>
    </row>
    <row r="289" spans="1:28" s="227" customFormat="1" ht="40.5">
      <c r="A289" s="181"/>
      <c r="B289" s="182" t="s">
        <v>1101</v>
      </c>
      <c r="C289" s="186" t="s">
        <v>14971</v>
      </c>
      <c r="D289" s="230" t="s">
        <v>14971</v>
      </c>
      <c r="E289" s="182" t="s">
        <v>1069</v>
      </c>
      <c r="F289" s="182" t="s">
        <v>14972</v>
      </c>
      <c r="G289" s="182" t="s">
        <v>13177</v>
      </c>
      <c r="H289" s="183" t="s">
        <v>16471</v>
      </c>
      <c r="I289" s="184" t="s">
        <v>13743</v>
      </c>
      <c r="J289" s="184" t="s">
        <v>13530</v>
      </c>
      <c r="K289" s="224"/>
      <c r="L289" s="224"/>
      <c r="M289" s="224"/>
      <c r="N289" s="224" t="s">
        <v>12533</v>
      </c>
      <c r="O289" s="224" t="s">
        <v>16472</v>
      </c>
      <c r="P289" s="185"/>
      <c r="Q289" s="225" t="s">
        <v>15840</v>
      </c>
      <c r="R289" s="182" t="str">
        <f ca="1">IF(ISERROR($V289),"",OFFSET('Smelter Look-up'!$C$4,$V289-4,0)&amp;"")</f>
        <v>Fujian Xinlu Tungsten Co., Ltd.</v>
      </c>
      <c r="S289" s="181" t="str">
        <f t="shared" ca="1" si="38"/>
        <v>CN</v>
      </c>
      <c r="T289" s="181" t="str">
        <f ca="1">IF(B289="","",IF(ISERROR(MATCH($J289,SorP!$B$1:$B$6226,0)),"",INDIRECT("'SorP'!$A$"&amp;MATCH($S289&amp;$J289,SorP!C:C,0))))</f>
        <v>CN-FJ</v>
      </c>
      <c r="U289" s="201"/>
      <c r="V289" s="226">
        <f>IF(C289="",NA(),IF(OR(C289="Smelter not listed",C289="Smelter not yet identified"),MATCH($B289&amp;$D289,'Smelter Look-up'!$J:$J,0),MATCH($B289&amp;$C289,'Smelter Look-up'!$J:$J,0)))</f>
        <v>573</v>
      </c>
      <c r="X289" s="227">
        <f t="shared" si="39"/>
        <v>0</v>
      </c>
      <c r="AB289" s="228" t="str">
        <f t="shared" si="40"/>
        <v>TungstenFujian Xinlu Tungsten</v>
      </c>
    </row>
    <row r="290" spans="1:28" s="227" customFormat="1" ht="27">
      <c r="A290" s="181"/>
      <c r="B290" s="182" t="s">
        <v>1101</v>
      </c>
      <c r="C290" s="186" t="s">
        <v>14968</v>
      </c>
      <c r="D290" s="230" t="s">
        <v>14968</v>
      </c>
      <c r="E290" s="182" t="s">
        <v>854</v>
      </c>
      <c r="F290" s="182" t="s">
        <v>14969</v>
      </c>
      <c r="G290" s="182" t="s">
        <v>13177</v>
      </c>
      <c r="H290" s="183" t="s">
        <v>16473</v>
      </c>
      <c r="I290" s="184" t="s">
        <v>14990</v>
      </c>
      <c r="J290" s="184" t="s">
        <v>9839</v>
      </c>
      <c r="K290" s="224"/>
      <c r="L290" s="224"/>
      <c r="M290" s="224"/>
      <c r="N290" s="224">
        <v>-2146826246</v>
      </c>
      <c r="O290" s="224" t="s">
        <v>15842</v>
      </c>
      <c r="P290" s="185"/>
      <c r="Q290" s="225"/>
      <c r="R290" s="182" t="str">
        <f ca="1">IF(ISERROR($V290),"",OFFSET('Smelter Look-up'!$C$4,$V290-4,0)&amp;"")</f>
        <v>Artek LLC</v>
      </c>
      <c r="S290" s="181" t="str">
        <f t="shared" ca="1" si="38"/>
        <v>RU</v>
      </c>
      <c r="T290" s="181" t="str">
        <f ca="1">IF(B290="","",IF(ISERROR(MATCH($J290,SorP!$B$1:$B$6226,0)),"",INDIRECT("'SorP'!$A$"&amp;MATCH($S290&amp;$J290,SorP!C:C,0))))</f>
        <v>RU-MOW</v>
      </c>
      <c r="U290" s="201"/>
      <c r="V290" s="226">
        <f>IF(C290="",NA(),IF(OR(C290="Smelter not listed",C290="Smelter not yet identified"),MATCH($B290&amp;$D290,'Smelter Look-up'!$J:$J,0),MATCH($B290&amp;$C290,'Smelter Look-up'!$J:$J,0)))</f>
        <v>560</v>
      </c>
      <c r="X290" s="227">
        <f t="shared" si="39"/>
        <v>0</v>
      </c>
      <c r="AB290" s="228" t="str">
        <f t="shared" si="40"/>
        <v>TungstenArtek LLC</v>
      </c>
    </row>
    <row r="291" spans="1:28" s="227" customFormat="1" ht="20">
      <c r="A291" s="181"/>
      <c r="B291" s="182" t="s">
        <v>1101</v>
      </c>
      <c r="C291" s="186" t="s">
        <v>13764</v>
      </c>
      <c r="D291" s="230" t="s">
        <v>13764</v>
      </c>
      <c r="E291" s="182" t="s">
        <v>1065</v>
      </c>
      <c r="F291" s="182" t="s">
        <v>13778</v>
      </c>
      <c r="G291" s="182" t="s">
        <v>13177</v>
      </c>
      <c r="H291" s="183" t="s">
        <v>16474</v>
      </c>
      <c r="I291" s="184" t="s">
        <v>13787</v>
      </c>
      <c r="J291" s="184" t="s">
        <v>3412</v>
      </c>
      <c r="K291" s="224"/>
      <c r="L291" s="224"/>
      <c r="M291" s="224"/>
      <c r="N291" s="224" t="s">
        <v>12500</v>
      </c>
      <c r="O291" s="224" t="s">
        <v>15919</v>
      </c>
      <c r="P291" s="185"/>
      <c r="Q291" s="225" t="s">
        <v>15840</v>
      </c>
      <c r="R291" s="182" t="str">
        <f ca="1">IF(ISERROR($V291),"",OFFSET('Smelter Look-up'!$C$4,$V291-4,0)&amp;"")</f>
        <v>Cronimet Brasil Ltda</v>
      </c>
      <c r="S291" s="181" t="str">
        <f t="shared" ca="1" si="38"/>
        <v>BR</v>
      </c>
      <c r="T291" s="181" t="str">
        <f ca="1">IF(B291="","",IF(ISERROR(MATCH($J291,SorP!$B$1:$B$6226,0)),"",INDIRECT("'SorP'!$A$"&amp;MATCH($S291&amp;$J291,SorP!C:C,0))))</f>
        <v>BR-SC</v>
      </c>
      <c r="U291" s="201"/>
      <c r="V291" s="226">
        <f>IF(C291="",NA(),IF(OR(C291="Smelter not listed",C291="Smelter not yet identified"),MATCH($B291&amp;$D291,'Smelter Look-up'!$J:$J,0),MATCH($B291&amp;$C291,'Smelter Look-up'!$J:$J,0)))</f>
        <v>571</v>
      </c>
      <c r="X291" s="227">
        <f t="shared" si="39"/>
        <v>0</v>
      </c>
      <c r="AB291" s="228" t="str">
        <f t="shared" si="40"/>
        <v>TungstenCronimet Brasil Ltda</v>
      </c>
    </row>
    <row r="292" spans="1:28" s="227" customFormat="1" ht="27">
      <c r="A292" s="181"/>
      <c r="B292" s="182" t="s">
        <v>1101</v>
      </c>
      <c r="C292" s="186" t="s">
        <v>13762</v>
      </c>
      <c r="D292" s="230" t="s">
        <v>13762</v>
      </c>
      <c r="E292" s="182" t="s">
        <v>1065</v>
      </c>
      <c r="F292" s="182" t="s">
        <v>13776</v>
      </c>
      <c r="G292" s="182" t="s">
        <v>13177</v>
      </c>
      <c r="H292" s="183" t="s">
        <v>16475</v>
      </c>
      <c r="I292" s="184" t="s">
        <v>2462</v>
      </c>
      <c r="J292" s="184" t="s">
        <v>1640</v>
      </c>
      <c r="K292" s="224"/>
      <c r="L292" s="224"/>
      <c r="M292" s="224"/>
      <c r="N292" s="224">
        <v>-2146826246</v>
      </c>
      <c r="O292" s="224" t="s">
        <v>15835</v>
      </c>
      <c r="P292" s="185"/>
      <c r="Q292" s="225"/>
      <c r="R292" s="182" t="str">
        <f ca="1">IF(ISERROR($V292),"",OFFSET('Smelter Look-up'!$C$4,$V292-4,0)&amp;"")</f>
        <v>Albasteel Industria e Comercio de Ligas Para Fundicao Ltd.</v>
      </c>
      <c r="S292" s="181" t="str">
        <f t="shared" ca="1" si="38"/>
        <v>BR</v>
      </c>
      <c r="T292" s="181" t="str">
        <f ca="1">IF(B292="","",IF(ISERROR(MATCH($J292,SorP!$B$1:$B$6226,0)),"",INDIRECT("'SorP'!$A$"&amp;MATCH($S292&amp;$J292,SorP!C:C,0))))</f>
        <v>BR-SP</v>
      </c>
      <c r="U292" s="201"/>
      <c r="V292" s="226">
        <f>IF(C292="",NA(),IF(OR(C292="Smelter not listed",C292="Smelter not yet identified"),MATCH($B292&amp;$D292,'Smelter Look-up'!$J:$J,0),MATCH($B292&amp;$C292,'Smelter Look-up'!$J:$J,0)))</f>
        <v>556</v>
      </c>
      <c r="X292" s="227">
        <f t="shared" si="39"/>
        <v>0</v>
      </c>
      <c r="AB292" s="228" t="str">
        <f t="shared" si="40"/>
        <v>TungstenAlbasteel Industria e Comercio de Ligas Para Fundicao Ltd.</v>
      </c>
    </row>
    <row r="293" spans="1:28" s="227" customFormat="1" ht="27">
      <c r="A293" s="181"/>
      <c r="B293" s="182" t="s">
        <v>1101</v>
      </c>
      <c r="C293" s="186" t="s">
        <v>15312</v>
      </c>
      <c r="D293" s="230" t="s">
        <v>15312</v>
      </c>
      <c r="E293" s="182" t="s">
        <v>1069</v>
      </c>
      <c r="F293" s="182" t="s">
        <v>13779</v>
      </c>
      <c r="G293" s="182" t="s">
        <v>13177</v>
      </c>
      <c r="H293" s="183" t="s">
        <v>16476</v>
      </c>
      <c r="I293" s="184" t="s">
        <v>14983</v>
      </c>
      <c r="J293" s="184" t="s">
        <v>13536</v>
      </c>
      <c r="K293" s="224"/>
      <c r="L293" s="224"/>
      <c r="M293" s="224"/>
      <c r="N293" s="224">
        <v>-2146826246</v>
      </c>
      <c r="O293" s="224" t="s">
        <v>15835</v>
      </c>
      <c r="P293" s="185"/>
      <c r="Q293" s="225" t="s">
        <v>15840</v>
      </c>
      <c r="R293" s="182" t="str">
        <f ca="1">IF(ISERROR($V293),"",OFFSET('Smelter Look-up'!$C$4,$V293-4,0)&amp;"")</f>
        <v>Hubei Green Tungsten Co., Ltd.</v>
      </c>
      <c r="S293" s="181" t="str">
        <f t="shared" ca="1" si="38"/>
        <v>CN</v>
      </c>
      <c r="T293" s="181" t="str">
        <f ca="1">IF(B293="","",IF(ISERROR(MATCH($J293,SorP!$B$1:$B$6226,0)),"",INDIRECT("'SorP'!$A$"&amp;MATCH($S293&amp;$J293,SorP!C:C,0))))</f>
        <v>CN-GD</v>
      </c>
      <c r="U293" s="201"/>
      <c r="V293" s="226">
        <f>IF(C293="",NA(),IF(OR(C293="Smelter not listed",C293="Smelter not yet identified"),MATCH($B293&amp;$D293,'Smelter Look-up'!$J:$J,0),MATCH($B293&amp;$C293,'Smelter Look-up'!$J:$J,0)))</f>
        <v>599</v>
      </c>
      <c r="X293" s="227">
        <f t="shared" si="39"/>
        <v>0</v>
      </c>
      <c r="AB293" s="228" t="str">
        <f t="shared" si="40"/>
        <v>TungstenJingmen Dewei GEM Tungsten Resources Recycling Co., Ltd.</v>
      </c>
    </row>
    <row r="294" spans="1:28" s="227" customFormat="1" ht="27">
      <c r="A294" s="181"/>
      <c r="B294" s="182" t="s">
        <v>1101</v>
      </c>
      <c r="C294" s="186" t="s">
        <v>13766</v>
      </c>
      <c r="D294" s="230" t="s">
        <v>13766</v>
      </c>
      <c r="E294" s="182" t="s">
        <v>854</v>
      </c>
      <c r="F294" s="182" t="s">
        <v>13780</v>
      </c>
      <c r="G294" s="182" t="s">
        <v>13177</v>
      </c>
      <c r="H294" s="183" t="s">
        <v>16477</v>
      </c>
      <c r="I294" s="184" t="s">
        <v>13788</v>
      </c>
      <c r="J294" s="184" t="s">
        <v>13789</v>
      </c>
      <c r="K294" s="224"/>
      <c r="L294" s="224"/>
      <c r="M294" s="224"/>
      <c r="N294" s="224">
        <v>-2146826246</v>
      </c>
      <c r="O294" s="224" t="s">
        <v>15835</v>
      </c>
      <c r="P294" s="185"/>
      <c r="Q294" s="225"/>
      <c r="R294" s="182" t="str">
        <f ca="1">IF(ISERROR($V294),"",OFFSET('Smelter Look-up'!$C$4,$V294-4,0)&amp;"")</f>
        <v>NPP Tyazhmetprom LLC</v>
      </c>
      <c r="S294" s="181" t="str">
        <f t="shared" ref="S294:S324" ca="1" si="41">IF(B294="","",IF(ISERROR(MATCH($E294,CL,0)),"Unknown",INDIRECT("'C'!$A$"&amp;MATCH($E294,CL,0)+1)))</f>
        <v>RU</v>
      </c>
      <c r="T294" s="181" t="str">
        <f ca="1">IF(B294="","",IF(ISERROR(MATCH($J294,SorP!$B$1:$B$6226,0)),"",INDIRECT("'SorP'!$A$"&amp;MATCH($S294&amp;$J294,SorP!C:C,0))))</f>
        <v>RU-CHE</v>
      </c>
      <c r="U294" s="201"/>
      <c r="V294" s="226">
        <f>IF(C294="",NA(),IF(OR(C294="Smelter not listed",C294="Smelter not yet identified"),MATCH($B294&amp;$D294,'Smelter Look-up'!$J:$J,0),MATCH($B294&amp;$C294,'Smelter Look-up'!$J:$J,0)))</f>
        <v>617</v>
      </c>
      <c r="X294" s="227">
        <f t="shared" ref="X294:X324" si="42">IF(AND(C294="Smelter not listed",OR(LEN(D294)=0,LEN(E294)=0)),1,0)</f>
        <v>0</v>
      </c>
      <c r="AB294" s="228" t="str">
        <f t="shared" ref="AB294:AB324" si="43">B294&amp;C294</f>
        <v>TungstenNPP Tyazhmetprom LLC</v>
      </c>
    </row>
    <row r="295" spans="1:28" s="227" customFormat="1" ht="27">
      <c r="A295" s="181"/>
      <c r="B295" s="182" t="s">
        <v>1101</v>
      </c>
      <c r="C295" s="186" t="s">
        <v>13727</v>
      </c>
      <c r="D295" s="230" t="s">
        <v>13727</v>
      </c>
      <c r="E295" s="182" t="s">
        <v>854</v>
      </c>
      <c r="F295" s="182" t="s">
        <v>13728</v>
      </c>
      <c r="G295" s="182" t="s">
        <v>13177</v>
      </c>
      <c r="H295" s="183" t="s">
        <v>16478</v>
      </c>
      <c r="I295" s="184" t="s">
        <v>13739</v>
      </c>
      <c r="J295" s="184" t="s">
        <v>9890</v>
      </c>
      <c r="K295" s="224"/>
      <c r="L295" s="224"/>
      <c r="M295" s="224"/>
      <c r="N295" s="224" t="s">
        <v>15876</v>
      </c>
      <c r="O295" s="224" t="s">
        <v>15919</v>
      </c>
      <c r="P295" s="185"/>
      <c r="Q295" s="225"/>
      <c r="R295" s="182" t="str">
        <f ca="1">IF(ISERROR($V295),"",OFFSET('Smelter Look-up'!$C$4,$V295-4,0)&amp;"")</f>
        <v>JSC "Kirovgrad Hard Alloys Plant"</v>
      </c>
      <c r="S295" s="181" t="str">
        <f t="shared" ca="1" si="41"/>
        <v>RU</v>
      </c>
      <c r="T295" s="181" t="str">
        <f ca="1">IF(B295="","",IF(ISERROR(MATCH($J295,SorP!$B$1:$B$6226,0)),"",INDIRECT("'SorP'!$A$"&amp;MATCH($S295&amp;$J295,SorP!C:C,0))))</f>
        <v>RU-SVE</v>
      </c>
      <c r="U295" s="201"/>
      <c r="V295" s="226">
        <f>IF(C295="",NA(),IF(OR(C295="Smelter not listed",C295="Smelter not yet identified"),MATCH($B295&amp;$D295,'Smelter Look-up'!$J:$J,0),MATCH($B295&amp;$C295,'Smelter Look-up'!$J:$J,0)))</f>
        <v>600</v>
      </c>
      <c r="X295" s="227">
        <f t="shared" si="42"/>
        <v>0</v>
      </c>
      <c r="AB295" s="228" t="str">
        <f t="shared" si="43"/>
        <v>TungstenJSC "Kirovgrad Hard Alloys Plant"</v>
      </c>
    </row>
    <row r="296" spans="1:28" s="227" customFormat="1" ht="27">
      <c r="A296" s="181"/>
      <c r="B296" s="182" t="s">
        <v>1101</v>
      </c>
      <c r="C296" s="186" t="s">
        <v>13729</v>
      </c>
      <c r="D296" s="230" t="s">
        <v>13729</v>
      </c>
      <c r="E296" s="182" t="s">
        <v>2383</v>
      </c>
      <c r="F296" s="182" t="s">
        <v>13730</v>
      </c>
      <c r="G296" s="182" t="s">
        <v>13177</v>
      </c>
      <c r="H296" s="183" t="s">
        <v>16479</v>
      </c>
      <c r="I296" s="184" t="s">
        <v>13740</v>
      </c>
      <c r="J296" s="184" t="s">
        <v>11431</v>
      </c>
      <c r="K296" s="224"/>
      <c r="L296" s="224"/>
      <c r="M296" s="224"/>
      <c r="N296" s="224" t="s">
        <v>15861</v>
      </c>
      <c r="O296" s="224" t="s">
        <v>15862</v>
      </c>
      <c r="P296" s="185"/>
      <c r="Q296" s="225" t="s">
        <v>15840</v>
      </c>
      <c r="R296" s="182" t="str">
        <f ca="1">IF(ISERROR($V296),"",OFFSET('Smelter Look-up'!$C$4,$V296-4,0)&amp;"")</f>
        <v>Lianyou Metals Co., Ltd.</v>
      </c>
      <c r="S296" s="181" t="str">
        <f t="shared" ca="1" si="41"/>
        <v>TW</v>
      </c>
      <c r="T296" s="181" t="str">
        <f ca="1">IF(B296="","",IF(ISERROR(MATCH($J296,SorP!$B$1:$B$6226,0)),"",INDIRECT("'SorP'!$A$"&amp;MATCH($S296&amp;$J296,SorP!C:C,0))))</f>
        <v>TW-PIF</v>
      </c>
      <c r="U296" s="201"/>
      <c r="V296" s="226">
        <f>IF(C296="",NA(),IF(OR(C296="Smelter not listed",C296="Smelter not yet identified"),MATCH($B296&amp;$D296,'Smelter Look-up'!$J:$J,0),MATCH($B296&amp;$C296,'Smelter Look-up'!$J:$J,0)))</f>
        <v>606</v>
      </c>
      <c r="X296" s="227">
        <f t="shared" si="42"/>
        <v>0</v>
      </c>
      <c r="AB296" s="228" t="str">
        <f t="shared" si="43"/>
        <v>TungstenLianyou Metals Co., Ltd.</v>
      </c>
    </row>
    <row r="297" spans="1:28" s="227" customFormat="1" ht="20">
      <c r="A297" s="181"/>
      <c r="B297" s="182" t="s">
        <v>1101</v>
      </c>
      <c r="C297" s="186" t="s">
        <v>16480</v>
      </c>
      <c r="D297" s="230" t="s">
        <v>16480</v>
      </c>
      <c r="E297" s="182" t="s">
        <v>1069</v>
      </c>
      <c r="F297" s="182" t="s">
        <v>16481</v>
      </c>
      <c r="G297" s="182" t="s">
        <v>13177</v>
      </c>
      <c r="H297" s="183" t="s">
        <v>16471</v>
      </c>
      <c r="I297" s="184" t="s">
        <v>13743</v>
      </c>
      <c r="J297" s="184" t="s">
        <v>13530</v>
      </c>
      <c r="K297" s="224"/>
      <c r="L297" s="224"/>
      <c r="M297" s="224"/>
      <c r="N297" s="224" t="s">
        <v>12533</v>
      </c>
      <c r="O297" s="224" t="s">
        <v>15919</v>
      </c>
      <c r="P297" s="185"/>
      <c r="Q297" s="225" t="s">
        <v>15840</v>
      </c>
      <c r="R297" s="182" t="str">
        <f ca="1">IF(ISERROR($V297),"",OFFSET('Smelter Look-up'!$C$4,$V297-4,0)&amp;"")</f>
        <v/>
      </c>
      <c r="S297" s="181" t="str">
        <f t="shared" ca="1" si="41"/>
        <v>CN</v>
      </c>
      <c r="T297" s="181" t="str">
        <f ca="1">IF(B297="","",IF(ISERROR(MATCH($J297,SorP!$B$1:$B$6226,0)),"",INDIRECT("'SorP'!$A$"&amp;MATCH($S297&amp;$J297,SorP!C:C,0))))</f>
        <v>CN-FJ</v>
      </c>
      <c r="U297" s="201"/>
      <c r="V297" s="226" t="e">
        <f>IF(C297="",NA(),IF(OR(C297="Smelter not listed",C297="Smelter not yet identified"),MATCH($B297&amp;$D297,'Smelter Look-up'!$J:$J,0),MATCH($B297&amp;$C297,'Smelter Look-up'!$J:$J,0)))</f>
        <v>#N/A</v>
      </c>
      <c r="X297" s="227">
        <f t="shared" si="42"/>
        <v>0</v>
      </c>
      <c r="AB297" s="228" t="str">
        <f t="shared" si="43"/>
        <v>TungstenFujian Ganmin RareMetal Co., Ltd.</v>
      </c>
    </row>
    <row r="298" spans="1:28" s="227" customFormat="1" ht="20">
      <c r="A298" s="181"/>
      <c r="B298" s="182" t="s">
        <v>1101</v>
      </c>
      <c r="C298" s="186" t="s">
        <v>2488</v>
      </c>
      <c r="D298" s="230" t="s">
        <v>2488</v>
      </c>
      <c r="E298" s="182" t="s">
        <v>854</v>
      </c>
      <c r="F298" s="182" t="s">
        <v>2223</v>
      </c>
      <c r="G298" s="182" t="s">
        <v>13177</v>
      </c>
      <c r="H298" s="183" t="s">
        <v>16482</v>
      </c>
      <c r="I298" s="184" t="s">
        <v>2224</v>
      </c>
      <c r="J298" s="184" t="s">
        <v>9906</v>
      </c>
      <c r="K298" s="224"/>
      <c r="L298" s="224"/>
      <c r="M298" s="224"/>
      <c r="N298" s="224" t="s">
        <v>16483</v>
      </c>
      <c r="O298" s="224" t="s">
        <v>16484</v>
      </c>
      <c r="P298" s="185"/>
      <c r="Q298" s="225" t="s">
        <v>15840</v>
      </c>
      <c r="R298" s="182" t="str">
        <f ca="1">IF(ISERROR($V298),"",OFFSET('Smelter Look-up'!$C$4,$V298-4,0)&amp;"")</f>
        <v>Moliren Ltd.</v>
      </c>
      <c r="S298" s="181" t="str">
        <f t="shared" ca="1" si="41"/>
        <v>RU</v>
      </c>
      <c r="T298" s="181" t="str">
        <f ca="1">IF(B298="","",IF(ISERROR(MATCH($J298,SorP!$B$1:$B$6226,0)),"",INDIRECT("'SorP'!$A$"&amp;MATCH($S298&amp;$J298,SorP!C:C,0))))</f>
        <v>RU-MOS</v>
      </c>
      <c r="U298" s="201"/>
      <c r="V298" s="226">
        <f>IF(C298="",NA(),IF(OR(C298="Smelter not listed",C298="Smelter not yet identified"),MATCH($B298&amp;$D298,'Smelter Look-up'!$J:$J,0),MATCH($B298&amp;$C298,'Smelter Look-up'!$J:$J,0)))</f>
        <v>613</v>
      </c>
      <c r="X298" s="227">
        <f t="shared" si="42"/>
        <v>0</v>
      </c>
      <c r="AB298" s="228" t="str">
        <f t="shared" si="43"/>
        <v>TungstenMoliren Ltd.</v>
      </c>
    </row>
    <row r="299" spans="1:28" s="227" customFormat="1" ht="20">
      <c r="A299" s="181"/>
      <c r="B299" s="182" t="s">
        <v>1101</v>
      </c>
      <c r="C299" s="186" t="s">
        <v>2218</v>
      </c>
      <c r="D299" s="230" t="s">
        <v>2218</v>
      </c>
      <c r="E299" s="182" t="s">
        <v>1065</v>
      </c>
      <c r="F299" s="182" t="s">
        <v>2219</v>
      </c>
      <c r="G299" s="182" t="s">
        <v>13177</v>
      </c>
      <c r="H299" s="183" t="s">
        <v>16485</v>
      </c>
      <c r="I299" s="184" t="s">
        <v>2220</v>
      </c>
      <c r="J299" s="184" t="s">
        <v>1640</v>
      </c>
      <c r="K299" s="224"/>
      <c r="L299" s="224"/>
      <c r="M299" s="224"/>
      <c r="N299" s="224" t="s">
        <v>16254</v>
      </c>
      <c r="O299" s="224" t="s">
        <v>16486</v>
      </c>
      <c r="P299" s="185"/>
      <c r="Q299" s="225" t="s">
        <v>15840</v>
      </c>
      <c r="R299" s="182" t="str">
        <f ca="1">IF(ISERROR($V299),"",OFFSET('Smelter Look-up'!$C$4,$V299-4,0)&amp;"")</f>
        <v>ACL Metais Eireli</v>
      </c>
      <c r="S299" s="181" t="str">
        <f t="shared" ca="1" si="41"/>
        <v>BR</v>
      </c>
      <c r="T299" s="181" t="str">
        <f ca="1">IF(B299="","",IF(ISERROR(MATCH($J299,SorP!$B$1:$B$6226,0)),"",INDIRECT("'SorP'!$A$"&amp;MATCH($S299&amp;$J299,SorP!C:C,0))))</f>
        <v>BR-SP</v>
      </c>
      <c r="U299" s="201"/>
      <c r="V299" s="226">
        <f>IF(C299="",NA(),IF(OR(C299="Smelter not listed",C299="Smelter not yet identified"),MATCH($B299&amp;$D299,'Smelter Look-up'!$J:$J,0),MATCH($B299&amp;$C299,'Smelter Look-up'!$J:$J,0)))</f>
        <v>555</v>
      </c>
      <c r="X299" s="227">
        <f t="shared" si="42"/>
        <v>0</v>
      </c>
      <c r="AB299" s="228" t="str">
        <f t="shared" si="43"/>
        <v>TungstenACL Metais Eireli</v>
      </c>
    </row>
    <row r="300" spans="1:28" s="227" customFormat="1" ht="27">
      <c r="A300" s="181"/>
      <c r="B300" s="182" t="s">
        <v>1101</v>
      </c>
      <c r="C300" s="186" t="s">
        <v>16487</v>
      </c>
      <c r="D300" s="230" t="s">
        <v>16487</v>
      </c>
      <c r="E300" s="182" t="s">
        <v>1069</v>
      </c>
      <c r="F300" s="182" t="s">
        <v>16488</v>
      </c>
      <c r="G300" s="182" t="s">
        <v>13177</v>
      </c>
      <c r="H300" s="183" t="s">
        <v>16432</v>
      </c>
      <c r="I300" s="184" t="s">
        <v>1732</v>
      </c>
      <c r="J300" s="184" t="s">
        <v>13531</v>
      </c>
      <c r="K300" s="224"/>
      <c r="L300" s="224"/>
      <c r="M300" s="224"/>
      <c r="N300" s="224" t="s">
        <v>16483</v>
      </c>
      <c r="O300" s="224" t="s">
        <v>16489</v>
      </c>
      <c r="P300" s="185"/>
      <c r="Q300" s="225" t="s">
        <v>15840</v>
      </c>
      <c r="R300" s="182" t="str">
        <f ca="1">IF(ISERROR($V300),"",OFFSET('Smelter Look-up'!$C$4,$V300-4,0)&amp;"")</f>
        <v/>
      </c>
      <c r="S300" s="181" t="str">
        <f t="shared" ca="1" si="41"/>
        <v>CN</v>
      </c>
      <c r="T300" s="181" t="str">
        <f ca="1">IF(B300="","",IF(ISERROR(MATCH($J300,SorP!$B$1:$B$6226,0)),"",INDIRECT("'SorP'!$A$"&amp;MATCH($S300&amp;$J300,SorP!C:C,0))))</f>
        <v>CN-JX</v>
      </c>
      <c r="U300" s="201"/>
      <c r="V300" s="226" t="e">
        <f>IF(C300="",NA(),IF(OR(C300="Smelter not listed",C300="Smelter not yet identified"),MATCH($B300&amp;$D300,'Smelter Look-up'!$J:$J,0),MATCH($B300&amp;$C300,'Smelter Look-up'!$J:$J,0)))</f>
        <v>#N/A</v>
      </c>
      <c r="X300" s="227">
        <f t="shared" si="42"/>
        <v>0</v>
      </c>
      <c r="AB300" s="228" t="str">
        <f t="shared" si="43"/>
        <v>TungstenXinfeng Huarui Tungsten &amp; Molybdenum New Material Co., Ltd.</v>
      </c>
    </row>
    <row r="301" spans="1:28" s="227" customFormat="1" ht="27">
      <c r="A301" s="181"/>
      <c r="B301" s="182" t="s">
        <v>1101</v>
      </c>
      <c r="C301" s="186" t="s">
        <v>2295</v>
      </c>
      <c r="D301" s="230" t="s">
        <v>2295</v>
      </c>
      <c r="E301" s="182" t="s">
        <v>852</v>
      </c>
      <c r="F301" s="182" t="s">
        <v>2225</v>
      </c>
      <c r="G301" s="182" t="s">
        <v>13177</v>
      </c>
      <c r="H301" s="183" t="s">
        <v>16490</v>
      </c>
      <c r="I301" s="184" t="s">
        <v>2226</v>
      </c>
      <c r="J301" s="184" t="s">
        <v>2227</v>
      </c>
      <c r="K301" s="224"/>
      <c r="L301" s="224"/>
      <c r="M301" s="224"/>
      <c r="N301" s="224" t="s">
        <v>15861</v>
      </c>
      <c r="O301" s="224" t="s">
        <v>16491</v>
      </c>
      <c r="P301" s="185"/>
      <c r="Q301" s="225" t="s">
        <v>15840</v>
      </c>
      <c r="R301" s="182" t="str">
        <f ca="1">IF(ISERROR($V301),"",OFFSET('Smelter Look-up'!$C$4,$V301-4,0)&amp;"")</f>
        <v>Philippine Chuangxin Industrial Co., Inc.</v>
      </c>
      <c r="S301" s="181" t="str">
        <f t="shared" ca="1" si="41"/>
        <v>PH</v>
      </c>
      <c r="T301" s="181" t="str">
        <f ca="1">IF(B301="","",IF(ISERROR(MATCH($J301,SorP!$B$1:$B$6226,0)),"",INDIRECT("'SorP'!$A$"&amp;MATCH($S301&amp;$J301,SorP!C:C,0))))</f>
        <v>PH-BUL</v>
      </c>
      <c r="U301" s="201"/>
      <c r="V301" s="226">
        <f>IF(C301="",NA(),IF(OR(C301="Smelter not listed",C301="Smelter not yet identified"),MATCH($B301&amp;$D301,'Smelter Look-up'!$J:$J,0),MATCH($B301&amp;$C301,'Smelter Look-up'!$J:$J,0)))</f>
        <v>623</v>
      </c>
      <c r="X301" s="227">
        <f t="shared" si="42"/>
        <v>0</v>
      </c>
      <c r="AB301" s="228" t="str">
        <f t="shared" si="43"/>
        <v>TungstenPhilippine Chuangxin Industrial Co., Inc.</v>
      </c>
    </row>
    <row r="302" spans="1:28" s="227" customFormat="1" ht="40.5">
      <c r="A302" s="181"/>
      <c r="B302" s="182" t="s">
        <v>1101</v>
      </c>
      <c r="C302" s="186" t="s">
        <v>2399</v>
      </c>
      <c r="D302" s="230" t="s">
        <v>2399</v>
      </c>
      <c r="E302" s="182" t="s">
        <v>854</v>
      </c>
      <c r="F302" s="182" t="s">
        <v>2400</v>
      </c>
      <c r="G302" s="182" t="s">
        <v>13177</v>
      </c>
      <c r="H302" s="183" t="s">
        <v>16492</v>
      </c>
      <c r="I302" s="184" t="s">
        <v>2489</v>
      </c>
      <c r="J302" s="184" t="s">
        <v>9893</v>
      </c>
      <c r="K302" s="224"/>
      <c r="L302" s="224"/>
      <c r="M302" s="224"/>
      <c r="N302" s="224" t="s">
        <v>16493</v>
      </c>
      <c r="O302" s="224" t="s">
        <v>16494</v>
      </c>
      <c r="P302" s="185"/>
      <c r="Q302" s="225"/>
      <c r="R302" s="182" t="str">
        <f ca="1">IF(ISERROR($V302),"",OFFSET('Smelter Look-up'!$C$4,$V302-4,0)&amp;"")</f>
        <v>Unecha Refractory metals plant</v>
      </c>
      <c r="S302" s="181" t="str">
        <f t="shared" ca="1" si="41"/>
        <v>RU</v>
      </c>
      <c r="T302" s="181" t="str">
        <f ca="1">IF(B302="","",IF(ISERROR(MATCH($J302,SorP!$B$1:$B$6226,0)),"",INDIRECT("'SorP'!$A$"&amp;MATCH($S302&amp;$J302,SorP!C:C,0))))</f>
        <v>RU-BRY</v>
      </c>
      <c r="U302" s="201"/>
      <c r="V302" s="226">
        <f>IF(C302="",NA(),IF(OR(C302="Smelter not listed",C302="Smelter not yet identified"),MATCH($B302&amp;$D302,'Smelter Look-up'!$J:$J,0),MATCH($B302&amp;$C302,'Smelter Look-up'!$J:$J,0)))</f>
        <v>629</v>
      </c>
      <c r="X302" s="227">
        <f t="shared" si="42"/>
        <v>0</v>
      </c>
      <c r="AB302" s="228" t="str">
        <f t="shared" si="43"/>
        <v>TungstenUnecha Refractory metals plant</v>
      </c>
    </row>
    <row r="303" spans="1:28" s="227" customFormat="1" ht="216">
      <c r="A303" s="181"/>
      <c r="B303" s="182" t="s">
        <v>1101</v>
      </c>
      <c r="C303" s="186" t="s">
        <v>1798</v>
      </c>
      <c r="D303" s="230" t="s">
        <v>1798</v>
      </c>
      <c r="E303" s="182" t="s">
        <v>854</v>
      </c>
      <c r="F303" s="182" t="s">
        <v>1799</v>
      </c>
      <c r="G303" s="182" t="s">
        <v>13177</v>
      </c>
      <c r="H303" s="183" t="s">
        <v>16495</v>
      </c>
      <c r="I303" s="184" t="s">
        <v>1800</v>
      </c>
      <c r="J303" s="184" t="s">
        <v>9973</v>
      </c>
      <c r="K303" s="224"/>
      <c r="L303" s="224"/>
      <c r="M303" s="224"/>
      <c r="N303" s="224" t="s">
        <v>16496</v>
      </c>
      <c r="O303" s="224" t="s">
        <v>16497</v>
      </c>
      <c r="P303" s="185"/>
      <c r="Q303" s="225"/>
      <c r="R303" s="182" t="str">
        <f ca="1">IF(ISERROR($V303),"",OFFSET('Smelter Look-up'!$C$4,$V303-4,0)&amp;"")</f>
        <v>Hydrometallurg, JSC</v>
      </c>
      <c r="S303" s="181" t="str">
        <f t="shared" ca="1" si="41"/>
        <v>RU</v>
      </c>
      <c r="T303" s="181" t="str">
        <f ca="1">IF(B303="","",IF(ISERROR(MATCH($J303,SorP!$B$1:$B$6226,0)),"",INDIRECT("'SorP'!$A$"&amp;MATCH($S303&amp;$J303,SorP!C:C,0))))</f>
        <v>RU-KB</v>
      </c>
      <c r="U303" s="201"/>
      <c r="V303" s="226">
        <f>IF(C303="",NA(),IF(OR(C303="Smelter not listed",C303="Smelter not yet identified"),MATCH($B303&amp;$D303,'Smelter Look-up'!$J:$J,0),MATCH($B303&amp;$C303,'Smelter Look-up'!$J:$J,0)))</f>
        <v>590</v>
      </c>
      <c r="X303" s="227">
        <f t="shared" si="42"/>
        <v>0</v>
      </c>
      <c r="AB303" s="228" t="str">
        <f t="shared" si="43"/>
        <v>TungstenHydrometallurg, JSC</v>
      </c>
    </row>
    <row r="304" spans="1:28" s="227" customFormat="1" ht="67.5">
      <c r="A304" s="181"/>
      <c r="B304" s="182" t="s">
        <v>1101</v>
      </c>
      <c r="C304" s="186" t="s">
        <v>16498</v>
      </c>
      <c r="D304" s="230" t="s">
        <v>16498</v>
      </c>
      <c r="E304" s="182" t="s">
        <v>1069</v>
      </c>
      <c r="F304" s="182" t="s">
        <v>16499</v>
      </c>
      <c r="G304" s="182" t="s">
        <v>13177</v>
      </c>
      <c r="H304" s="183" t="s">
        <v>16432</v>
      </c>
      <c r="I304" s="184" t="s">
        <v>1732</v>
      </c>
      <c r="J304" s="184" t="s">
        <v>13531</v>
      </c>
      <c r="K304" s="224"/>
      <c r="L304" s="224"/>
      <c r="M304" s="224"/>
      <c r="N304" s="224" t="s">
        <v>12533</v>
      </c>
      <c r="O304" s="224" t="s">
        <v>16500</v>
      </c>
      <c r="P304" s="185"/>
      <c r="Q304" s="225" t="s">
        <v>15840</v>
      </c>
      <c r="R304" s="182" t="str">
        <f ca="1">IF(ISERROR($V304),"",OFFSET('Smelter Look-up'!$C$4,$V304-4,0)&amp;"")</f>
        <v/>
      </c>
      <c r="S304" s="181" t="str">
        <f t="shared" ca="1" si="41"/>
        <v>CN</v>
      </c>
      <c r="T304" s="181" t="str">
        <f ca="1">IF(B304="","",IF(ISERROR(MATCH($J304,SorP!$B$1:$B$6226,0)),"",INDIRECT("'SorP'!$A$"&amp;MATCH($S304&amp;$J304,SorP!C:C,0))))</f>
        <v>CN-JX</v>
      </c>
      <c r="U304" s="201"/>
      <c r="V304" s="226" t="e">
        <f>IF(C304="",NA(),IF(OR(C304="Smelter not listed",C304="Smelter not yet identified"),MATCH($B304&amp;$D304,'Smelter Look-up'!$J:$J,0),MATCH($B304&amp;$C304,'Smelter Look-up'!$J:$J,0)))</f>
        <v>#N/A</v>
      </c>
      <c r="X304" s="227">
        <f t="shared" si="42"/>
        <v>0</v>
      </c>
      <c r="AB304" s="228" t="str">
        <f t="shared" si="43"/>
        <v>TungstenGanzhou Haichuang Tungsten Co., Ltd.</v>
      </c>
    </row>
    <row r="305" spans="1:28" s="227" customFormat="1" ht="27">
      <c r="A305" s="181"/>
      <c r="B305" s="182" t="s">
        <v>1101</v>
      </c>
      <c r="C305" s="186" t="s">
        <v>14970</v>
      </c>
      <c r="D305" s="230" t="s">
        <v>14970</v>
      </c>
      <c r="E305" s="182" t="s">
        <v>1069</v>
      </c>
      <c r="F305" s="182" t="s">
        <v>13724</v>
      </c>
      <c r="G305" s="182" t="s">
        <v>13177</v>
      </c>
      <c r="H305" s="183" t="s">
        <v>16501</v>
      </c>
      <c r="I305" s="184" t="s">
        <v>1581</v>
      </c>
      <c r="J305" s="184" t="s">
        <v>13533</v>
      </c>
      <c r="K305" s="224"/>
      <c r="L305" s="224"/>
      <c r="M305" s="224"/>
      <c r="N305" s="224" t="s">
        <v>12533</v>
      </c>
      <c r="O305" s="224" t="s">
        <v>15919</v>
      </c>
      <c r="P305" s="185"/>
      <c r="Q305" s="225" t="s">
        <v>15840</v>
      </c>
      <c r="R305" s="182" t="str">
        <f ca="1">IF(ISERROR($V305),"",OFFSET('Smelter Look-up'!$C$4,$V305-4,0)&amp;"")</f>
        <v>China Molybdenum Tungsten Co., Ltd.</v>
      </c>
      <c r="S305" s="181" t="str">
        <f t="shared" ca="1" si="41"/>
        <v>CN</v>
      </c>
      <c r="T305" s="181" t="str">
        <f ca="1">IF(B305="","",IF(ISERROR(MATCH($J305,SorP!$B$1:$B$6226,0)),"",INDIRECT("'SorP'!$A$"&amp;MATCH($S305&amp;$J305,SorP!C:C,0))))</f>
        <v>CN-HA</v>
      </c>
      <c r="U305" s="201"/>
      <c r="V305" s="226">
        <f>IF(C305="",NA(),IF(OR(C305="Smelter not listed",C305="Smelter not yet identified"),MATCH($B305&amp;$D305,'Smelter Look-up'!$J:$J,0),MATCH($B305&amp;$C305,'Smelter Look-up'!$J:$J,0)))</f>
        <v>567</v>
      </c>
      <c r="X305" s="227">
        <f t="shared" si="42"/>
        <v>0</v>
      </c>
      <c r="AB305" s="228" t="str">
        <f t="shared" si="43"/>
        <v>TungstenChina Molybdenum Tungsten Co., Ltd.</v>
      </c>
    </row>
    <row r="306" spans="1:28" s="227" customFormat="1" ht="216">
      <c r="A306" s="181"/>
      <c r="B306" s="182" t="s">
        <v>1101</v>
      </c>
      <c r="C306" s="186" t="s">
        <v>1795</v>
      </c>
      <c r="D306" s="230" t="s">
        <v>1795</v>
      </c>
      <c r="E306" s="182" t="s">
        <v>2384</v>
      </c>
      <c r="F306" s="182" t="s">
        <v>1796</v>
      </c>
      <c r="G306" s="182" t="s">
        <v>13177</v>
      </c>
      <c r="H306" s="183" t="s">
        <v>16502</v>
      </c>
      <c r="I306" s="184" t="s">
        <v>1797</v>
      </c>
      <c r="J306" s="184" t="s">
        <v>1583</v>
      </c>
      <c r="K306" s="224"/>
      <c r="L306" s="224"/>
      <c r="M306" s="224"/>
      <c r="N306" s="224" t="s">
        <v>16503</v>
      </c>
      <c r="O306" s="224" t="s">
        <v>16504</v>
      </c>
      <c r="P306" s="185"/>
      <c r="Q306" s="225" t="s">
        <v>15840</v>
      </c>
      <c r="R306" s="182" t="str">
        <f ca="1">IF(ISERROR($V306),"",OFFSET('Smelter Look-up'!$C$4,$V306-4,0)&amp;"")</f>
        <v>Niagara Refining LLC</v>
      </c>
      <c r="S306" s="181" t="str">
        <f t="shared" ca="1" si="41"/>
        <v>US</v>
      </c>
      <c r="T306" s="181" t="str">
        <f ca="1">IF(B306="","",IF(ISERROR(MATCH($J306,SorP!$B$1:$B$6226,0)),"",INDIRECT("'SorP'!$A$"&amp;MATCH($S306&amp;$J306,SorP!C:C,0))))</f>
        <v>US-NY</v>
      </c>
      <c r="U306" s="201"/>
      <c r="V306" s="226">
        <f>IF(C306="",NA(),IF(OR(C306="Smelter not listed",C306="Smelter not yet identified"),MATCH($B306&amp;$D306,'Smelter Look-up'!$J:$J,0),MATCH($B306&amp;$C306,'Smelter Look-up'!$J:$J,0)))</f>
        <v>616</v>
      </c>
      <c r="X306" s="227">
        <f t="shared" si="42"/>
        <v>0</v>
      </c>
      <c r="AB306" s="228" t="str">
        <f t="shared" si="43"/>
        <v>TungstenNiagara Refining LLC</v>
      </c>
    </row>
    <row r="307" spans="1:28" s="227" customFormat="1" ht="40.5">
      <c r="A307" s="181"/>
      <c r="B307" s="182" t="s">
        <v>1101</v>
      </c>
      <c r="C307" s="186" t="s">
        <v>1392</v>
      </c>
      <c r="D307" s="230" t="s">
        <v>1392</v>
      </c>
      <c r="E307" s="182" t="s">
        <v>1069</v>
      </c>
      <c r="F307" s="182" t="s">
        <v>1393</v>
      </c>
      <c r="G307" s="182" t="s">
        <v>13177</v>
      </c>
      <c r="H307" s="183" t="s">
        <v>16432</v>
      </c>
      <c r="I307" s="184" t="s">
        <v>1732</v>
      </c>
      <c r="J307" s="184" t="s">
        <v>13531</v>
      </c>
      <c r="K307" s="224"/>
      <c r="L307" s="224"/>
      <c r="M307" s="224"/>
      <c r="N307" s="224" t="s">
        <v>16483</v>
      </c>
      <c r="O307" s="224" t="s">
        <v>16505</v>
      </c>
      <c r="P307" s="185"/>
      <c r="Q307" s="225" t="s">
        <v>15840</v>
      </c>
      <c r="R307" s="182" t="str">
        <f ca="1">IF(ISERROR($V307),"",OFFSET('Smelter Look-up'!$C$4,$V307-4,0)&amp;"")</f>
        <v>Jiangwu H.C. Starck Tungsten Products Co., Ltd.</v>
      </c>
      <c r="S307" s="181" t="str">
        <f t="shared" ca="1" si="41"/>
        <v>CN</v>
      </c>
      <c r="T307" s="181" t="str">
        <f ca="1">IF(B307="","",IF(ISERROR(MATCH($J307,SorP!$B$1:$B$6226,0)),"",INDIRECT("'SorP'!$A$"&amp;MATCH($S307&amp;$J307,SorP!C:C,0))))</f>
        <v>CN-JX</v>
      </c>
      <c r="U307" s="201"/>
      <c r="V307" s="226">
        <f>IF(C307="",NA(),IF(OR(C307="Smelter not listed",C307="Smelter not yet identified"),MATCH($B307&amp;$D307,'Smelter Look-up'!$J:$J,0),MATCH($B307&amp;$C307,'Smelter Look-up'!$J:$J,0)))</f>
        <v>592</v>
      </c>
      <c r="X307" s="227">
        <f t="shared" si="42"/>
        <v>0</v>
      </c>
      <c r="AB307" s="228" t="str">
        <f t="shared" si="43"/>
        <v>TungstenJiangwu H.C. Starck Tungsten Products Co., Ltd.</v>
      </c>
    </row>
    <row r="308" spans="1:28" s="227" customFormat="1" ht="216">
      <c r="A308" s="181"/>
      <c r="B308" s="182" t="s">
        <v>1101</v>
      </c>
      <c r="C308" s="186" t="s">
        <v>14973</v>
      </c>
      <c r="D308" s="230" t="s">
        <v>14973</v>
      </c>
      <c r="E308" s="182" t="s">
        <v>863</v>
      </c>
      <c r="F308" s="182" t="s">
        <v>1394</v>
      </c>
      <c r="G308" s="182" t="s">
        <v>13177</v>
      </c>
      <c r="H308" s="183" t="s">
        <v>16506</v>
      </c>
      <c r="I308" s="184" t="s">
        <v>1794</v>
      </c>
      <c r="J308" s="184" t="s">
        <v>12081</v>
      </c>
      <c r="K308" s="224"/>
      <c r="L308" s="224"/>
      <c r="M308" s="224"/>
      <c r="N308" s="224" t="s">
        <v>15921</v>
      </c>
      <c r="O308" s="224" t="s">
        <v>16507</v>
      </c>
      <c r="P308" s="185"/>
      <c r="Q308" s="225" t="s">
        <v>15840</v>
      </c>
      <c r="R308" s="182" t="str">
        <f ca="1">IF(ISERROR($V308),"",OFFSET('Smelter Look-up'!$C$4,$V308-4,0)&amp;"")</f>
        <v>Masan High-Tech Materials</v>
      </c>
      <c r="S308" s="181" t="str">
        <f t="shared" ca="1" si="41"/>
        <v>VN</v>
      </c>
      <c r="T308" s="181" t="str">
        <f ca="1">IF(B308="","",IF(ISERROR(MATCH($J308,SorP!$B$1:$B$6226,0)),"",INDIRECT("'SorP'!$A$"&amp;MATCH($S308&amp;$J308,SorP!C:C,0))))</f>
        <v>VN-69</v>
      </c>
      <c r="U308" s="201"/>
      <c r="V308" s="226">
        <f>IF(C308="",NA(),IF(OR(C308="Smelter not listed",C308="Smelter not yet identified"),MATCH($B308&amp;$D308,'Smelter Look-up'!$J:$J,0),MATCH($B308&amp;$C308,'Smelter Look-up'!$J:$J,0)))</f>
        <v>611</v>
      </c>
      <c r="X308" s="227">
        <f t="shared" si="42"/>
        <v>0</v>
      </c>
      <c r="AB308" s="228" t="str">
        <f t="shared" si="43"/>
        <v>TungstenMasan High-Tech Materials</v>
      </c>
    </row>
    <row r="309" spans="1:28" s="227" customFormat="1" ht="202.5">
      <c r="A309" s="181"/>
      <c r="B309" s="182" t="s">
        <v>1101</v>
      </c>
      <c r="C309" s="186" t="s">
        <v>14948</v>
      </c>
      <c r="D309" s="230" t="s">
        <v>14948</v>
      </c>
      <c r="E309" s="182" t="s">
        <v>1070</v>
      </c>
      <c r="F309" s="182" t="s">
        <v>1391</v>
      </c>
      <c r="G309" s="182" t="s">
        <v>13177</v>
      </c>
      <c r="H309" s="183" t="s">
        <v>16210</v>
      </c>
      <c r="I309" s="184" t="s">
        <v>1710</v>
      </c>
      <c r="J309" s="184" t="s">
        <v>1511</v>
      </c>
      <c r="K309" s="224"/>
      <c r="L309" s="224"/>
      <c r="M309" s="224"/>
      <c r="N309" s="224" t="s">
        <v>16496</v>
      </c>
      <c r="O309" s="224" t="s">
        <v>16508</v>
      </c>
      <c r="P309" s="185"/>
      <c r="Q309" s="225" t="s">
        <v>15840</v>
      </c>
      <c r="R309" s="182" t="str">
        <f ca="1">IF(ISERROR($V309),"",OFFSET('Smelter Look-up'!$C$4,$V309-4,0)&amp;"")</f>
        <v>TANIOBIS Smelting GmbH &amp; Co. KG</v>
      </c>
      <c r="S309" s="181" t="str">
        <f t="shared" ca="1" si="41"/>
        <v>DE</v>
      </c>
      <c r="T309" s="181" t="str">
        <f ca="1">IF(B309="","",IF(ISERROR(MATCH($J309,SorP!$B$1:$B$6226,0)),"",INDIRECT("'SorP'!$A$"&amp;MATCH($S309&amp;$J309,SorP!C:C,0))))</f>
        <v>DE-BW</v>
      </c>
      <c r="U309" s="201"/>
      <c r="V309" s="226">
        <f>IF(C309="",NA(),IF(OR(C309="Smelter not listed",C309="Smelter not yet identified"),MATCH($B309&amp;$D309,'Smelter Look-up'!$J:$J,0),MATCH($B309&amp;$C309,'Smelter Look-up'!$J:$J,0)))</f>
        <v>626</v>
      </c>
      <c r="X309" s="227">
        <f t="shared" si="42"/>
        <v>0</v>
      </c>
      <c r="AB309" s="228" t="str">
        <f t="shared" si="43"/>
        <v>TungstenTANIOBIS Smelting GmbH &amp; Co. KG</v>
      </c>
    </row>
    <row r="310" spans="1:28" s="227" customFormat="1" ht="216">
      <c r="A310" s="181"/>
      <c r="B310" s="182" t="s">
        <v>1101</v>
      </c>
      <c r="C310" s="186" t="s">
        <v>2487</v>
      </c>
      <c r="D310" s="230" t="s">
        <v>2487</v>
      </c>
      <c r="E310" s="182" t="s">
        <v>1070</v>
      </c>
      <c r="F310" s="182" t="s">
        <v>1390</v>
      </c>
      <c r="G310" s="182" t="s">
        <v>13177</v>
      </c>
      <c r="H310" s="183" t="s">
        <v>16223</v>
      </c>
      <c r="I310" s="184" t="s">
        <v>1709</v>
      </c>
      <c r="J310" s="184" t="s">
        <v>4197</v>
      </c>
      <c r="K310" s="224"/>
      <c r="L310" s="224"/>
      <c r="M310" s="224"/>
      <c r="N310" s="224" t="s">
        <v>16496</v>
      </c>
      <c r="O310" s="224" t="s">
        <v>16509</v>
      </c>
      <c r="P310" s="185"/>
      <c r="Q310" s="225" t="s">
        <v>15840</v>
      </c>
      <c r="R310" s="182" t="str">
        <f ca="1">IF(ISERROR($V310),"",OFFSET('Smelter Look-up'!$C$4,$V310-4,0)&amp;"")</f>
        <v>H.C. Starck Tungsten GmbH</v>
      </c>
      <c r="S310" s="181" t="str">
        <f t="shared" ca="1" si="41"/>
        <v>DE</v>
      </c>
      <c r="T310" s="181" t="str">
        <f ca="1">IF(B310="","",IF(ISERROR(MATCH($J310,SorP!$B$1:$B$6226,0)),"",INDIRECT("'SorP'!$A$"&amp;MATCH($S310&amp;$J310,SorP!C:C,0))))</f>
        <v>DE-NI</v>
      </c>
      <c r="U310" s="201"/>
      <c r="V310" s="226">
        <f>IF(C310="",NA(),IF(OR(C310="Smelter not listed",C310="Smelter not yet identified"),MATCH($B310&amp;$D310,'Smelter Look-up'!$J:$J,0),MATCH($B310&amp;$C310,'Smelter Look-up'!$J:$J,0)))</f>
        <v>582</v>
      </c>
      <c r="X310" s="227">
        <f t="shared" si="42"/>
        <v>0</v>
      </c>
      <c r="AB310" s="228" t="str">
        <f t="shared" si="43"/>
        <v>TungstenH.C. Starck Tungsten GmbH</v>
      </c>
    </row>
    <row r="311" spans="1:28" s="227" customFormat="1" ht="202.5">
      <c r="A311" s="181"/>
      <c r="B311" s="182" t="s">
        <v>1101</v>
      </c>
      <c r="C311" s="186" t="s">
        <v>1369</v>
      </c>
      <c r="D311" s="230" t="s">
        <v>1369</v>
      </c>
      <c r="E311" s="182" t="s">
        <v>1069</v>
      </c>
      <c r="F311" s="182" t="s">
        <v>1370</v>
      </c>
      <c r="G311" s="182" t="s">
        <v>13177</v>
      </c>
      <c r="H311" s="183" t="s">
        <v>16467</v>
      </c>
      <c r="I311" s="184" t="s">
        <v>1733</v>
      </c>
      <c r="J311" s="184" t="s">
        <v>13535</v>
      </c>
      <c r="K311" s="224"/>
      <c r="L311" s="224"/>
      <c r="M311" s="224"/>
      <c r="N311" s="224" t="s">
        <v>16483</v>
      </c>
      <c r="O311" s="224" t="s">
        <v>16510</v>
      </c>
      <c r="P311" s="185"/>
      <c r="Q311" s="225" t="s">
        <v>15840</v>
      </c>
      <c r="R311" s="182" t="str">
        <f ca="1">IF(ISERROR($V311),"",OFFSET('Smelter Look-up'!$C$4,$V311-4,0)&amp;"")</f>
        <v>Hunan Shizhuyuan Nonferrous Metals Co., Ltd. Chenzhou Tungsten Products Branch</v>
      </c>
      <c r="S311" s="181" t="str">
        <f t="shared" ca="1" si="41"/>
        <v>CN</v>
      </c>
      <c r="T311" s="181" t="str">
        <f ca="1">IF(B311="","",IF(ISERROR(MATCH($J311,SorP!$B$1:$B$6226,0)),"",INDIRECT("'SorP'!$A$"&amp;MATCH($S311&amp;$J311,SorP!C:C,0))))</f>
        <v>CN-HN</v>
      </c>
      <c r="U311" s="201"/>
      <c r="V311" s="226">
        <f>IF(C311="",NA(),IF(OR(C311="Smelter not listed",C311="Smelter not yet identified"),MATCH($B311&amp;$D311,'Smelter Look-up'!$J:$J,0),MATCH($B311&amp;$C311,'Smelter Look-up'!$J:$J,0)))</f>
        <v>565</v>
      </c>
      <c r="X311" s="227">
        <f t="shared" si="42"/>
        <v>0</v>
      </c>
      <c r="AB311" s="228" t="str">
        <f t="shared" si="43"/>
        <v>TungstenChenzhou Diamond Tungsten Products Co., Ltd.</v>
      </c>
    </row>
    <row r="312" spans="1:28" s="227" customFormat="1" ht="216">
      <c r="A312" s="181"/>
      <c r="B312" s="182" t="s">
        <v>1101</v>
      </c>
      <c r="C312" s="186" t="s">
        <v>13763</v>
      </c>
      <c r="D312" s="230" t="s">
        <v>13763</v>
      </c>
      <c r="E312" s="182" t="s">
        <v>863</v>
      </c>
      <c r="F312" s="182" t="s">
        <v>13777</v>
      </c>
      <c r="G312" s="182" t="s">
        <v>13177</v>
      </c>
      <c r="H312" s="183" t="s">
        <v>16511</v>
      </c>
      <c r="I312" s="184" t="s">
        <v>13786</v>
      </c>
      <c r="J312" s="184" t="s">
        <v>1793</v>
      </c>
      <c r="K312" s="224"/>
      <c r="L312" s="224"/>
      <c r="M312" s="224"/>
      <c r="N312" s="224" t="s">
        <v>16512</v>
      </c>
      <c r="O312" s="224" t="s">
        <v>16513</v>
      </c>
      <c r="P312" s="185"/>
      <c r="Q312" s="225" t="s">
        <v>15840</v>
      </c>
      <c r="R312" s="182" t="str">
        <f ca="1">IF(ISERROR($V312),"",OFFSET('Smelter Look-up'!$C$4,$V312-4,0)&amp;"")</f>
        <v>Asia Tungsten Products Vietnam Ltd.</v>
      </c>
      <c r="S312" s="181" t="str">
        <f t="shared" ca="1" si="41"/>
        <v>VN</v>
      </c>
      <c r="T312" s="181" t="str">
        <f ca="1">IF(B312="","",IF(ISERROR(MATCH($J312,SorP!$B$1:$B$6226,0)),"",INDIRECT("'SorP'!$A$"&amp;MATCH($S312&amp;$J312,SorP!C:C,0))))</f>
        <v>VN-HP</v>
      </c>
      <c r="U312" s="201"/>
      <c r="V312" s="226">
        <f>IF(C312="",NA(),IF(OR(C312="Smelter not listed",C312="Smelter not yet identified"),MATCH($B312&amp;$D312,'Smelter Look-up'!$J:$J,0),MATCH($B312&amp;$C312,'Smelter Look-up'!$J:$J,0)))</f>
        <v>561</v>
      </c>
      <c r="X312" s="227">
        <f t="shared" si="42"/>
        <v>0</v>
      </c>
      <c r="AB312" s="228" t="str">
        <f t="shared" si="43"/>
        <v>TungstenAsia Tungsten Products Vietnam Ltd.</v>
      </c>
    </row>
    <row r="313" spans="1:28" s="227" customFormat="1" ht="202.5">
      <c r="A313" s="181"/>
      <c r="B313" s="182" t="s">
        <v>1101</v>
      </c>
      <c r="C313" s="186" t="s">
        <v>379</v>
      </c>
      <c r="D313" s="230" t="s">
        <v>379</v>
      </c>
      <c r="E313" s="182" t="s">
        <v>1069</v>
      </c>
      <c r="F313" s="182" t="s">
        <v>380</v>
      </c>
      <c r="G313" s="182" t="s">
        <v>13177</v>
      </c>
      <c r="H313" s="183" t="s">
        <v>16432</v>
      </c>
      <c r="I313" s="184" t="s">
        <v>1732</v>
      </c>
      <c r="J313" s="184" t="s">
        <v>13531</v>
      </c>
      <c r="K313" s="224"/>
      <c r="L313" s="224"/>
      <c r="M313" s="224"/>
      <c r="N313" s="224" t="s">
        <v>16483</v>
      </c>
      <c r="O313" s="224" t="s">
        <v>16514</v>
      </c>
      <c r="P313" s="185"/>
      <c r="Q313" s="225" t="s">
        <v>15840</v>
      </c>
      <c r="R313" s="182" t="str">
        <f ca="1">IF(ISERROR($V313),"",OFFSET('Smelter Look-up'!$C$4,$V313-4,0)&amp;"")</f>
        <v>Ganzhou Seadragon W &amp; Mo Co., Ltd.</v>
      </c>
      <c r="S313" s="181" t="str">
        <f t="shared" ca="1" si="41"/>
        <v>CN</v>
      </c>
      <c r="T313" s="181" t="str">
        <f ca="1">IF(B313="","",IF(ISERROR(MATCH($J313,SorP!$B$1:$B$6226,0)),"",INDIRECT("'SorP'!$A$"&amp;MATCH($S313&amp;$J313,SorP!C:C,0))))</f>
        <v>CN-JX</v>
      </c>
      <c r="U313" s="201"/>
      <c r="V313" s="226">
        <f>IF(C313="",NA(),IF(OR(C313="Smelter not listed",C313="Smelter not yet identified"),MATCH($B313&amp;$D313,'Smelter Look-up'!$J:$J,0),MATCH($B313&amp;$C313,'Smelter Look-up'!$J:$J,0)))</f>
        <v>576</v>
      </c>
      <c r="X313" s="227">
        <f t="shared" si="42"/>
        <v>0</v>
      </c>
      <c r="AB313" s="228" t="str">
        <f t="shared" si="43"/>
        <v>TungstenGanzhou Seadragon W &amp; Mo Co., Ltd.</v>
      </c>
    </row>
    <row r="314" spans="1:28" s="227" customFormat="1" ht="202.5">
      <c r="A314" s="181"/>
      <c r="B314" s="182" t="s">
        <v>1101</v>
      </c>
      <c r="C314" s="186" t="s">
        <v>148</v>
      </c>
      <c r="D314" s="230" t="s">
        <v>148</v>
      </c>
      <c r="E314" s="182" t="s">
        <v>1069</v>
      </c>
      <c r="F314" s="182" t="s">
        <v>130</v>
      </c>
      <c r="G314" s="182" t="s">
        <v>13177</v>
      </c>
      <c r="H314" s="183" t="s">
        <v>16515</v>
      </c>
      <c r="I314" s="184" t="s">
        <v>1792</v>
      </c>
      <c r="J314" s="184" t="s">
        <v>13531</v>
      </c>
      <c r="K314" s="224"/>
      <c r="L314" s="224"/>
      <c r="M314" s="224"/>
      <c r="N314" s="224" t="s">
        <v>16483</v>
      </c>
      <c r="O314" s="224" t="s">
        <v>16516</v>
      </c>
      <c r="P314" s="185"/>
      <c r="Q314" s="225" t="s">
        <v>15840</v>
      </c>
      <c r="R314" s="182" t="str">
        <f ca="1">IF(ISERROR($V314),"",OFFSET('Smelter Look-up'!$C$4,$V314-4,0)&amp;"")</f>
        <v>Jiangxi Gan Bei Tungsten Co., Ltd.</v>
      </c>
      <c r="S314" s="181" t="str">
        <f t="shared" ca="1" si="41"/>
        <v>CN</v>
      </c>
      <c r="T314" s="181" t="str">
        <f ca="1">IF(B314="","",IF(ISERROR(MATCH($J314,SorP!$B$1:$B$6226,0)),"",INDIRECT("'SorP'!$A$"&amp;MATCH($S314&amp;$J314,SorP!C:C,0))))</f>
        <v>CN-JX</v>
      </c>
      <c r="U314" s="201"/>
      <c r="V314" s="226">
        <f>IF(C314="",NA(),IF(OR(C314="Smelter not listed",C314="Smelter not yet identified"),MATCH($B314&amp;$D314,'Smelter Look-up'!$J:$J,0),MATCH($B314&amp;$C314,'Smelter Look-up'!$J:$J,0)))</f>
        <v>593</v>
      </c>
      <c r="X314" s="227">
        <f t="shared" si="42"/>
        <v>0</v>
      </c>
      <c r="AB314" s="228" t="str">
        <f t="shared" si="43"/>
        <v>TungstenJiangxi Gan Bei Tungsten Co., Ltd.</v>
      </c>
    </row>
    <row r="315" spans="1:28" s="227" customFormat="1" ht="148.5">
      <c r="A315" s="181"/>
      <c r="B315" s="182" t="s">
        <v>1101</v>
      </c>
      <c r="C315" s="186" t="s">
        <v>147</v>
      </c>
      <c r="D315" s="230" t="s">
        <v>147</v>
      </c>
      <c r="E315" s="182" t="s">
        <v>1069</v>
      </c>
      <c r="F315" s="182" t="s">
        <v>137</v>
      </c>
      <c r="G315" s="182" t="s">
        <v>13177</v>
      </c>
      <c r="H315" s="183" t="s">
        <v>16517</v>
      </c>
      <c r="I315" s="184" t="s">
        <v>1788</v>
      </c>
      <c r="J315" s="184" t="s">
        <v>13530</v>
      </c>
      <c r="K315" s="224"/>
      <c r="L315" s="224"/>
      <c r="M315" s="224"/>
      <c r="N315" s="224" t="s">
        <v>16518</v>
      </c>
      <c r="O315" s="224" t="s">
        <v>16519</v>
      </c>
      <c r="P315" s="185"/>
      <c r="Q315" s="225" t="s">
        <v>15840</v>
      </c>
      <c r="R315" s="182" t="str">
        <f ca="1">IF(ISERROR($V315),"",OFFSET('Smelter Look-up'!$C$4,$V315-4,0)&amp;"")</f>
        <v>Xiamen Tungsten (H.C.) Co., Ltd.</v>
      </c>
      <c r="S315" s="181" t="str">
        <f t="shared" ca="1" si="41"/>
        <v>CN</v>
      </c>
      <c r="T315" s="181" t="str">
        <f ca="1">IF(B315="","",IF(ISERROR(MATCH($J315,SorP!$B$1:$B$6226,0)),"",INDIRECT("'SorP'!$A$"&amp;MATCH($S315&amp;$J315,SorP!C:C,0))))</f>
        <v>CN-FJ</v>
      </c>
      <c r="U315" s="201"/>
      <c r="V315" s="226">
        <f>IF(C315="",NA(),IF(OR(C315="Smelter not listed",C315="Smelter not yet identified"),MATCH($B315&amp;$D315,'Smelter Look-up'!$J:$J,0),MATCH($B315&amp;$C315,'Smelter Look-up'!$J:$J,0)))</f>
        <v>635</v>
      </c>
      <c r="X315" s="227">
        <f t="shared" si="42"/>
        <v>0</v>
      </c>
      <c r="AB315" s="228" t="str">
        <f t="shared" si="43"/>
        <v>TungstenXiamen Tungsten (H.C.) Co., Ltd.</v>
      </c>
    </row>
    <row r="316" spans="1:28" s="227" customFormat="1" ht="216">
      <c r="A316" s="181"/>
      <c r="B316" s="182" t="s">
        <v>1101</v>
      </c>
      <c r="C316" s="186" t="s">
        <v>146</v>
      </c>
      <c r="D316" s="230" t="s">
        <v>146</v>
      </c>
      <c r="E316" s="182" t="s">
        <v>1069</v>
      </c>
      <c r="F316" s="182" t="s">
        <v>136</v>
      </c>
      <c r="G316" s="182" t="s">
        <v>13177</v>
      </c>
      <c r="H316" s="183" t="s">
        <v>16520</v>
      </c>
      <c r="I316" s="184" t="s">
        <v>16521</v>
      </c>
      <c r="J316" s="184" t="s">
        <v>13540</v>
      </c>
      <c r="K316" s="224"/>
      <c r="L316" s="224"/>
      <c r="M316" s="224"/>
      <c r="N316" s="224" t="s">
        <v>16483</v>
      </c>
      <c r="O316" s="224" t="s">
        <v>16522</v>
      </c>
      <c r="P316" s="185"/>
      <c r="Q316" s="225" t="s">
        <v>15840</v>
      </c>
      <c r="R316" s="182" t="str">
        <f ca="1">IF(ISERROR($V316),"",OFFSET('Smelter Look-up'!$C$4,$V316-4,0)&amp;"")</f>
        <v>Malipo Haiyu Tungsten Co., Ltd.</v>
      </c>
      <c r="S316" s="181" t="str">
        <f t="shared" ca="1" si="41"/>
        <v>CN</v>
      </c>
      <c r="T316" s="181" t="str">
        <f ca="1">IF(B316="","",IF(ISERROR(MATCH($J316,SorP!$B$1:$B$6226,0)),"",INDIRECT("'SorP'!$A$"&amp;MATCH($S316&amp;$J316,SorP!C:C,0))))</f>
        <v>CN-YN</v>
      </c>
      <c r="U316" s="201"/>
      <c r="V316" s="226">
        <f>IF(C316="",NA(),IF(OR(C316="Smelter not listed",C316="Smelter not yet identified"),MATCH($B316&amp;$D316,'Smelter Look-up'!$J:$J,0),MATCH($B316&amp;$C316,'Smelter Look-up'!$J:$J,0)))</f>
        <v>610</v>
      </c>
      <c r="X316" s="227">
        <f t="shared" si="42"/>
        <v>0</v>
      </c>
      <c r="AB316" s="228" t="str">
        <f t="shared" si="43"/>
        <v>TungstenMalipo Haiyu Tungsten Co., Ltd.</v>
      </c>
    </row>
    <row r="317" spans="1:28" s="227" customFormat="1" ht="27">
      <c r="A317" s="181"/>
      <c r="B317" s="182" t="s">
        <v>1101</v>
      </c>
      <c r="C317" s="186" t="s">
        <v>145</v>
      </c>
      <c r="D317" s="230" t="s">
        <v>145</v>
      </c>
      <c r="E317" s="182" t="s">
        <v>1069</v>
      </c>
      <c r="F317" s="182" t="s">
        <v>135</v>
      </c>
      <c r="G317" s="182" t="s">
        <v>13177</v>
      </c>
      <c r="H317" s="183" t="s">
        <v>16523</v>
      </c>
      <c r="I317" s="184" t="s">
        <v>1790</v>
      </c>
      <c r="J317" s="184" t="s">
        <v>13531</v>
      </c>
      <c r="K317" s="224"/>
      <c r="L317" s="224"/>
      <c r="M317" s="224"/>
      <c r="N317" s="224" t="s">
        <v>16483</v>
      </c>
      <c r="O317" s="224" t="s">
        <v>16524</v>
      </c>
      <c r="P317" s="185"/>
      <c r="Q317" s="225" t="s">
        <v>15840</v>
      </c>
      <c r="R317" s="182" t="str">
        <f ca="1">IF(ISERROR($V317),"",OFFSET('Smelter Look-up'!$C$4,$V317-4,0)&amp;"")</f>
        <v>Jiangxi Tonggu Non-ferrous Metallurgical &amp; Chemical Co., Ltd.</v>
      </c>
      <c r="S317" s="181" t="str">
        <f t="shared" ca="1" si="41"/>
        <v>CN</v>
      </c>
      <c r="T317" s="181" t="str">
        <f ca="1">IF(B317="","",IF(ISERROR(MATCH($J317,SorP!$B$1:$B$6226,0)),"",INDIRECT("'SorP'!$A$"&amp;MATCH($S317&amp;$J317,SorP!C:C,0))))</f>
        <v>CN-JX</v>
      </c>
      <c r="U317" s="201"/>
      <c r="V317" s="226">
        <f>IF(C317="",NA(),IF(OR(C317="Smelter not listed",C317="Smelter not yet identified"),MATCH($B317&amp;$D317,'Smelter Look-up'!$J:$J,0),MATCH($B317&amp;$C317,'Smelter Look-up'!$J:$J,0)))</f>
        <v>595</v>
      </c>
      <c r="X317" s="227">
        <f t="shared" si="42"/>
        <v>0</v>
      </c>
      <c r="AB317" s="228" t="str">
        <f t="shared" si="43"/>
        <v>TungstenJiangxi Tonggu Non-ferrous Metallurgical &amp; Chemical Co., Ltd.</v>
      </c>
    </row>
    <row r="318" spans="1:28" s="227" customFormat="1" ht="108">
      <c r="A318" s="181"/>
      <c r="B318" s="182" t="s">
        <v>1101</v>
      </c>
      <c r="C318" s="186" t="s">
        <v>144</v>
      </c>
      <c r="D318" s="230" t="s">
        <v>144</v>
      </c>
      <c r="E318" s="182" t="s">
        <v>1069</v>
      </c>
      <c r="F318" s="182" t="s">
        <v>134</v>
      </c>
      <c r="G318" s="182" t="s">
        <v>13177</v>
      </c>
      <c r="H318" s="183" t="s">
        <v>16432</v>
      </c>
      <c r="I318" s="184" t="s">
        <v>1732</v>
      </c>
      <c r="J318" s="184" t="s">
        <v>13531</v>
      </c>
      <c r="K318" s="224"/>
      <c r="L318" s="224"/>
      <c r="M318" s="224"/>
      <c r="N318" s="224" t="s">
        <v>16483</v>
      </c>
      <c r="O318" s="224" t="s">
        <v>16525</v>
      </c>
      <c r="P318" s="185"/>
      <c r="Q318" s="225" t="s">
        <v>15840</v>
      </c>
      <c r="R318" s="182" t="str">
        <f ca="1">IF(ISERROR($V318),"",OFFSET('Smelter Look-up'!$C$4,$V318-4,0)&amp;"")</f>
        <v>Jiangxi Xinsheng Tungsten Industry Co., Ltd.</v>
      </c>
      <c r="S318" s="181" t="str">
        <f t="shared" ca="1" si="41"/>
        <v>CN</v>
      </c>
      <c r="T318" s="181" t="str">
        <f ca="1">IF(B318="","",IF(ISERROR(MATCH($J318,SorP!$B$1:$B$6226,0)),"",INDIRECT("'SorP'!$A$"&amp;MATCH($S318&amp;$J318,SorP!C:C,0))))</f>
        <v>CN-JX</v>
      </c>
      <c r="U318" s="201"/>
      <c r="V318" s="226">
        <f>IF(C318="",NA(),IF(OR(C318="Smelter not listed",C318="Smelter not yet identified"),MATCH($B318&amp;$D318,'Smelter Look-up'!$J:$J,0),MATCH($B318&amp;$C318,'Smelter Look-up'!$J:$J,0)))</f>
        <v>596</v>
      </c>
      <c r="X318" s="227">
        <f t="shared" si="42"/>
        <v>0</v>
      </c>
      <c r="AB318" s="228" t="str">
        <f t="shared" si="43"/>
        <v>TungstenJiangxi Xinsheng Tungsten Industry Co., Ltd.</v>
      </c>
    </row>
    <row r="319" spans="1:28" s="227" customFormat="1" ht="135">
      <c r="A319" s="181"/>
      <c r="B319" s="182" t="s">
        <v>1101</v>
      </c>
      <c r="C319" s="186" t="s">
        <v>143</v>
      </c>
      <c r="D319" s="230" t="s">
        <v>143</v>
      </c>
      <c r="E319" s="182" t="s">
        <v>1069</v>
      </c>
      <c r="F319" s="182" t="s">
        <v>133</v>
      </c>
      <c r="G319" s="182" t="s">
        <v>13177</v>
      </c>
      <c r="H319" s="183" t="s">
        <v>16432</v>
      </c>
      <c r="I319" s="184" t="s">
        <v>1732</v>
      </c>
      <c r="J319" s="184" t="s">
        <v>13531</v>
      </c>
      <c r="K319" s="224"/>
      <c r="L319" s="224"/>
      <c r="M319" s="224"/>
      <c r="N319" s="224" t="s">
        <v>16483</v>
      </c>
      <c r="O319" s="224" t="s">
        <v>16526</v>
      </c>
      <c r="P319" s="185"/>
      <c r="Q319" s="225" t="s">
        <v>15840</v>
      </c>
      <c r="R319" s="182" t="str">
        <f ca="1">IF(ISERROR($V319),"",OFFSET('Smelter Look-up'!$C$4,$V319-4,0)&amp;"")</f>
        <v>Jiangxi Yaosheng Tungsten Co., Ltd.</v>
      </c>
      <c r="S319" s="181" t="str">
        <f t="shared" ca="1" si="41"/>
        <v>CN</v>
      </c>
      <c r="T319" s="181" t="str">
        <f ca="1">IF(B319="","",IF(ISERROR(MATCH($J319,SorP!$B$1:$B$6226,0)),"",INDIRECT("'SorP'!$A$"&amp;MATCH($S319&amp;$J319,SorP!C:C,0))))</f>
        <v>CN-JX</v>
      </c>
      <c r="U319" s="201"/>
      <c r="V319" s="226">
        <f>IF(C319="",NA(),IF(OR(C319="Smelter not listed",C319="Smelter not yet identified"),MATCH($B319&amp;$D319,'Smelter Look-up'!$J:$J,0),MATCH($B319&amp;$C319,'Smelter Look-up'!$J:$J,0)))</f>
        <v>597</v>
      </c>
      <c r="X319" s="227">
        <f t="shared" si="42"/>
        <v>0</v>
      </c>
      <c r="AB319" s="228" t="str">
        <f t="shared" si="43"/>
        <v>TungstenJiangxi Yaosheng Tungsten Co., Ltd.</v>
      </c>
    </row>
    <row r="320" spans="1:28" s="227" customFormat="1" ht="216">
      <c r="A320" s="181"/>
      <c r="B320" s="182" t="s">
        <v>1101</v>
      </c>
      <c r="C320" s="186" t="s">
        <v>142</v>
      </c>
      <c r="D320" s="230" t="s">
        <v>142</v>
      </c>
      <c r="E320" s="182" t="s">
        <v>1069</v>
      </c>
      <c r="F320" s="182" t="s">
        <v>132</v>
      </c>
      <c r="G320" s="182" t="s">
        <v>13177</v>
      </c>
      <c r="H320" s="183" t="s">
        <v>16432</v>
      </c>
      <c r="I320" s="184" t="s">
        <v>1732</v>
      </c>
      <c r="J320" s="184" t="s">
        <v>13531</v>
      </c>
      <c r="K320" s="224"/>
      <c r="L320" s="224"/>
      <c r="M320" s="224"/>
      <c r="N320" s="224" t="s">
        <v>16527</v>
      </c>
      <c r="O320" s="224" t="s">
        <v>16528</v>
      </c>
      <c r="P320" s="185"/>
      <c r="Q320" s="225" t="s">
        <v>15840</v>
      </c>
      <c r="R320" s="182" t="str">
        <f ca="1">IF(ISERROR($V320),"",OFFSET('Smelter Look-up'!$C$4,$V320-4,0)&amp;"")</f>
        <v>Ganzhou Jiangwu Ferrotungsten Co., Ltd.</v>
      </c>
      <c r="S320" s="181" t="str">
        <f t="shared" ca="1" si="41"/>
        <v>CN</v>
      </c>
      <c r="T320" s="181" t="str">
        <f ca="1">IF(B320="","",IF(ISERROR(MATCH($J320,SorP!$B$1:$B$6226,0)),"",INDIRECT("'SorP'!$A$"&amp;MATCH($S320&amp;$J320,SorP!C:C,0))))</f>
        <v>CN-JX</v>
      </c>
      <c r="U320" s="201"/>
      <c r="V320" s="226">
        <f>IF(C320="",NA(),IF(OR(C320="Smelter not listed",C320="Smelter not yet identified"),MATCH($B320&amp;$D320,'Smelter Look-up'!$J:$J,0),MATCH($B320&amp;$C320,'Smelter Look-up'!$J:$J,0)))</f>
        <v>575</v>
      </c>
      <c r="X320" s="227">
        <f t="shared" si="42"/>
        <v>0</v>
      </c>
      <c r="AB320" s="228" t="str">
        <f t="shared" si="43"/>
        <v>TungstenGanzhou Jiangwu Ferrotungsten Co., Ltd.</v>
      </c>
    </row>
    <row r="321" spans="1:28" s="227" customFormat="1" ht="27">
      <c r="A321" s="181"/>
      <c r="B321" s="182" t="s">
        <v>1101</v>
      </c>
      <c r="C321" s="186" t="s">
        <v>789</v>
      </c>
      <c r="D321" s="230" t="s">
        <v>789</v>
      </c>
      <c r="E321" s="182" t="s">
        <v>1069</v>
      </c>
      <c r="F321" s="182" t="s">
        <v>778</v>
      </c>
      <c r="G321" s="182" t="s">
        <v>13177</v>
      </c>
      <c r="H321" s="183" t="s">
        <v>16529</v>
      </c>
      <c r="I321" s="184" t="s">
        <v>1789</v>
      </c>
      <c r="J321" s="184" t="s">
        <v>13531</v>
      </c>
      <c r="K321" s="224"/>
      <c r="L321" s="224"/>
      <c r="M321" s="224"/>
      <c r="N321" s="224">
        <v>-2146826246</v>
      </c>
      <c r="O321" s="224" t="s">
        <v>16530</v>
      </c>
      <c r="P321" s="185"/>
      <c r="Q321" s="225"/>
      <c r="R321" s="182" t="str">
        <f ca="1">IF(ISERROR($V321),"",OFFSET('Smelter Look-up'!$C$4,$V321-4,0)&amp;"")</f>
        <v>Jiangxi Minmetals Gao'an Non-ferrous Metals Co., Ltd.</v>
      </c>
      <c r="S321" s="181" t="str">
        <f t="shared" ca="1" si="41"/>
        <v>CN</v>
      </c>
      <c r="T321" s="181" t="str">
        <f ca="1">IF(B321="","",IF(ISERROR(MATCH($J321,SorP!$B$1:$B$6226,0)),"",INDIRECT("'SorP'!$A$"&amp;MATCH($S321&amp;$J321,SorP!C:C,0))))</f>
        <v>CN-JX</v>
      </c>
      <c r="U321" s="201"/>
      <c r="V321" s="226">
        <f>IF(C321="",NA(),IF(OR(C321="Smelter not listed",C321="Smelter not yet identified"),MATCH($B321&amp;$D321,'Smelter Look-up'!$J:$J,0),MATCH($B321&amp;$C321,'Smelter Look-up'!$J:$J,0)))</f>
        <v>594</v>
      </c>
      <c r="X321" s="227">
        <f t="shared" si="42"/>
        <v>0</v>
      </c>
      <c r="AB321" s="228" t="str">
        <f t="shared" si="43"/>
        <v>TungstenJiangxi Minmetals Gao'an Non-ferrous Metals Co., Ltd.</v>
      </c>
    </row>
    <row r="322" spans="1:28" s="227" customFormat="1" ht="216">
      <c r="A322" s="181"/>
      <c r="B322" s="182" t="s">
        <v>1101</v>
      </c>
      <c r="C322" s="186" t="s">
        <v>1348</v>
      </c>
      <c r="D322" s="230" t="s">
        <v>1348</v>
      </c>
      <c r="E322" s="182" t="s">
        <v>1069</v>
      </c>
      <c r="F322" s="182" t="s">
        <v>776</v>
      </c>
      <c r="G322" s="182" t="s">
        <v>13177</v>
      </c>
      <c r="H322" s="183" t="s">
        <v>16517</v>
      </c>
      <c r="I322" s="184" t="s">
        <v>1788</v>
      </c>
      <c r="J322" s="184" t="s">
        <v>13530</v>
      </c>
      <c r="K322" s="224"/>
      <c r="L322" s="224"/>
      <c r="M322" s="224"/>
      <c r="N322" s="224" t="s">
        <v>16496</v>
      </c>
      <c r="O322" s="224" t="s">
        <v>16531</v>
      </c>
      <c r="P322" s="185"/>
      <c r="Q322" s="225" t="s">
        <v>15840</v>
      </c>
      <c r="R322" s="182" t="str">
        <f ca="1">IF(ISERROR($V322),"",OFFSET('Smelter Look-up'!$C$4,$V322-4,0)&amp;"")</f>
        <v>Xiamen Tungsten Co., Ltd.</v>
      </c>
      <c r="S322" s="181" t="str">
        <f t="shared" ca="1" si="41"/>
        <v>CN</v>
      </c>
      <c r="T322" s="181" t="str">
        <f ca="1">IF(B322="","",IF(ISERROR(MATCH($J322,SorP!$B$1:$B$6226,0)),"",INDIRECT("'SorP'!$A$"&amp;MATCH($S322&amp;$J322,SorP!C:C,0))))</f>
        <v>CN-FJ</v>
      </c>
      <c r="U322" s="201"/>
      <c r="V322" s="226">
        <f>IF(C322="",NA(),IF(OR(C322="Smelter not listed",C322="Smelter not yet identified"),MATCH($B322&amp;$D322,'Smelter Look-up'!$J:$J,0),MATCH($B322&amp;$C322,'Smelter Look-up'!$J:$J,0)))</f>
        <v>636</v>
      </c>
      <c r="X322" s="227">
        <f t="shared" si="42"/>
        <v>0</v>
      </c>
      <c r="AB322" s="228" t="str">
        <f t="shared" si="43"/>
        <v>TungstenXiamen Tungsten Co., Ltd.</v>
      </c>
    </row>
    <row r="323" spans="1:28" s="227" customFormat="1" ht="216">
      <c r="A323" s="181"/>
      <c r="B323" s="182" t="s">
        <v>1101</v>
      </c>
      <c r="C323" s="186" t="s">
        <v>2490</v>
      </c>
      <c r="D323" s="230" t="s">
        <v>2490</v>
      </c>
      <c r="E323" s="182" t="s">
        <v>1063</v>
      </c>
      <c r="F323" s="182" t="s">
        <v>775</v>
      </c>
      <c r="G323" s="182" t="s">
        <v>13177</v>
      </c>
      <c r="H323" s="183" t="s">
        <v>16532</v>
      </c>
      <c r="I323" s="184" t="s">
        <v>1785</v>
      </c>
      <c r="J323" s="184" t="s">
        <v>2761</v>
      </c>
      <c r="K323" s="224"/>
      <c r="L323" s="224"/>
      <c r="M323" s="224"/>
      <c r="N323" s="224" t="s">
        <v>16533</v>
      </c>
      <c r="O323" s="224" t="s">
        <v>16534</v>
      </c>
      <c r="P323" s="185"/>
      <c r="Q323" s="225" t="s">
        <v>15840</v>
      </c>
      <c r="R323" s="182" t="str">
        <f ca="1">IF(ISERROR($V323),"",OFFSET('Smelter Look-up'!$C$4,$V323-4,0)&amp;"")</f>
        <v>Wolfram Bergbau und Hutten AG</v>
      </c>
      <c r="S323" s="181" t="str">
        <f t="shared" ca="1" si="41"/>
        <v>AT</v>
      </c>
      <c r="T323" s="181" t="str">
        <f ca="1">IF(B323="","",IF(ISERROR(MATCH($J323,SorP!$B$1:$B$6226,0)),"",INDIRECT("'SorP'!$A$"&amp;MATCH($S323&amp;$J323,SorP!C:C,0))))</f>
        <v>AT-6</v>
      </c>
      <c r="U323" s="201"/>
      <c r="V323" s="226">
        <f>IF(C323="",NA(),IF(OR(C323="Smelter not listed",C323="Smelter not yet identified"),MATCH($B323&amp;$D323,'Smelter Look-up'!$J:$J,0),MATCH($B323&amp;$C323,'Smelter Look-up'!$J:$J,0)))</f>
        <v>632</v>
      </c>
      <c r="X323" s="227">
        <f t="shared" si="42"/>
        <v>0</v>
      </c>
      <c r="AB323" s="228" t="str">
        <f t="shared" si="43"/>
        <v>TungstenWolfram Bergbau und Hutten AG</v>
      </c>
    </row>
    <row r="324" spans="1:28" s="227" customFormat="1" ht="94.5">
      <c r="A324" s="181"/>
      <c r="B324" s="182" t="s">
        <v>1101</v>
      </c>
      <c r="C324" s="186" t="s">
        <v>141</v>
      </c>
      <c r="D324" s="230" t="s">
        <v>141</v>
      </c>
      <c r="E324" s="182" t="s">
        <v>2384</v>
      </c>
      <c r="F324" s="182" t="s">
        <v>774</v>
      </c>
      <c r="G324" s="182" t="s">
        <v>13177</v>
      </c>
      <c r="H324" s="183" t="s">
        <v>16535</v>
      </c>
      <c r="I324" s="184" t="s">
        <v>1784</v>
      </c>
      <c r="J324" s="184" t="s">
        <v>1715</v>
      </c>
      <c r="K324" s="224"/>
      <c r="L324" s="224"/>
      <c r="M324" s="224"/>
      <c r="N324" s="224" t="s">
        <v>16496</v>
      </c>
      <c r="O324" s="224" t="s">
        <v>16536</v>
      </c>
      <c r="P324" s="185"/>
      <c r="Q324" s="225" t="s">
        <v>15840</v>
      </c>
      <c r="R324" s="182" t="str">
        <f ca="1">IF(ISERROR($V324),"",OFFSET('Smelter Look-up'!$C$4,$V324-4,0)&amp;"")</f>
        <v>Kennametal Fallon</v>
      </c>
      <c r="S324" s="181" t="str">
        <f t="shared" ca="1" si="41"/>
        <v>US</v>
      </c>
      <c r="T324" s="181" t="str">
        <f ca="1">IF(B324="","",IF(ISERROR(MATCH($J324,SorP!$B$1:$B$6226,0)),"",INDIRECT("'SorP'!$A$"&amp;MATCH($S324&amp;$J324,SorP!C:C,0))))</f>
        <v>US-NV</v>
      </c>
      <c r="U324" s="201"/>
      <c r="V324" s="226">
        <f>IF(C324="",NA(),IF(OR(C324="Smelter not listed",C324="Smelter not yet identified"),MATCH($B324&amp;$D324,'Smelter Look-up'!$J:$J,0),MATCH($B324&amp;$C324,'Smelter Look-up'!$J:$J,0)))</f>
        <v>603</v>
      </c>
      <c r="X324" s="227">
        <f t="shared" si="42"/>
        <v>0</v>
      </c>
      <c r="AB324" s="228" t="str">
        <f t="shared" si="43"/>
        <v>TungstenKennametal Fallon</v>
      </c>
    </row>
    <row r="325" spans="1:28" s="227" customFormat="1" ht="216">
      <c r="A325" s="181"/>
      <c r="B325" s="182" t="s">
        <v>1101</v>
      </c>
      <c r="C325" s="186" t="s">
        <v>16537</v>
      </c>
      <c r="D325" s="230" t="s">
        <v>16537</v>
      </c>
      <c r="E325" s="182" t="s">
        <v>1069</v>
      </c>
      <c r="F325" s="182" t="s">
        <v>16538</v>
      </c>
      <c r="G325" s="182" t="s">
        <v>13177</v>
      </c>
      <c r="H325" s="183" t="s">
        <v>16432</v>
      </c>
      <c r="I325" s="184" t="s">
        <v>1732</v>
      </c>
      <c r="J325" s="184" t="s">
        <v>13531</v>
      </c>
      <c r="K325" s="224"/>
      <c r="L325" s="224"/>
      <c r="M325" s="224"/>
      <c r="N325" s="224" t="s">
        <v>16483</v>
      </c>
      <c r="O325" s="224" t="s">
        <v>16539</v>
      </c>
      <c r="P325" s="185"/>
      <c r="Q325" s="225" t="s">
        <v>15840</v>
      </c>
      <c r="R325" s="182" t="str">
        <f ca="1">IF(ISERROR($V325),"",OFFSET('Smelter Look-up'!$C$4,$V325-4,0)&amp;"")</f>
        <v/>
      </c>
      <c r="S325" s="181" t="str">
        <f t="shared" ref="S325" ca="1" si="44">IF(B325="","",IF(ISERROR(MATCH($E325,CL,0)),"Unknown",INDIRECT("'C'!$A$"&amp;MATCH($E325,CL,0)+1)))</f>
        <v>CN</v>
      </c>
      <c r="T325" s="181" t="str">
        <f ca="1">IF(B325="","",IF(ISERROR(MATCH($J325,SorP!$B$1:$B$6226,0)),"",INDIRECT("'SorP'!$A$"&amp;MATCH($S325&amp;$J325,SorP!C:C,0))))</f>
        <v>CN-JX</v>
      </c>
      <c r="U325" s="201"/>
      <c r="V325" s="226" t="e">
        <f>IF(C325="",NA(),IF(OR(C325="Smelter not listed",C325="Smelter not yet identified"),MATCH($B325&amp;$D325,'Smelter Look-up'!$J:$J,0),MATCH($B325&amp;$C325,'Smelter Look-up'!$J:$J,0)))</f>
        <v>#N/A</v>
      </c>
      <c r="X325" s="227">
        <f t="shared" ref="X325" si="45">IF(AND(C325="Smelter not listed",OR(LEN(D325)=0,LEN(E325)=0)),1,0)</f>
        <v>0</v>
      </c>
      <c r="AB325" s="228" t="str">
        <f t="shared" ref="AB325" si="46">B325&amp;C325</f>
        <v>TungstenGanzhou Huaxing Tungsten Products Co., Ltd.</v>
      </c>
    </row>
    <row r="326" spans="1:28" s="227" customFormat="1" ht="243">
      <c r="A326" s="181"/>
      <c r="B326" s="182" t="s">
        <v>1101</v>
      </c>
      <c r="C326" s="186" t="s">
        <v>1347</v>
      </c>
      <c r="D326" s="230" t="s">
        <v>1347</v>
      </c>
      <c r="E326" s="182" t="s">
        <v>1077</v>
      </c>
      <c r="F326" s="182" t="s">
        <v>773</v>
      </c>
      <c r="G326" s="182" t="s">
        <v>13177</v>
      </c>
      <c r="H326" s="183" t="s">
        <v>16540</v>
      </c>
      <c r="I326" s="184" t="s">
        <v>2090</v>
      </c>
      <c r="J326" s="184" t="s">
        <v>1542</v>
      </c>
      <c r="K326" s="224"/>
      <c r="L326" s="224"/>
      <c r="M326" s="224"/>
      <c r="N326" s="224" t="s">
        <v>16205</v>
      </c>
      <c r="O326" s="224" t="s">
        <v>16541</v>
      </c>
      <c r="P326" s="185"/>
      <c r="Q326" s="225" t="s">
        <v>15840</v>
      </c>
      <c r="R326" s="182" t="str">
        <f ca="1">IF(ISERROR($V326),"",OFFSET('Smelter Look-up'!$C$4,$V326-4,0)&amp;"")</f>
        <v>Japan New Metals Co., Ltd.</v>
      </c>
      <c r="S326" s="181" t="str">
        <f t="shared" ref="S326:S357" ca="1" si="47">IF(B326="","",IF(ISERROR(MATCH($E326,CL,0)),"Unknown",INDIRECT("'C'!$A$"&amp;MATCH($E326,CL,0)+1)))</f>
        <v>JP</v>
      </c>
      <c r="T326" s="181" t="str">
        <f ca="1">IF(B326="","",IF(ISERROR(MATCH($J326,SorP!$B$1:$B$6226,0)),"",INDIRECT("'SorP'!$A$"&amp;MATCH($S326&amp;$J326,SorP!C:C,0))))</f>
        <v>JP-05</v>
      </c>
      <c r="U326" s="201"/>
      <c r="V326" s="226">
        <f>IF(C326="",NA(),IF(OR(C326="Smelter not listed",C326="Smelter not yet identified"),MATCH($B326&amp;$D326,'Smelter Look-up'!$J:$J,0),MATCH($B326&amp;$C326,'Smelter Look-up'!$J:$J,0)))</f>
        <v>591</v>
      </c>
      <c r="X326" s="227">
        <f t="shared" ref="X326:X357" si="48">IF(AND(C326="Smelter not listed",OR(LEN(D326)=0,LEN(E326)=0)),1,0)</f>
        <v>0</v>
      </c>
      <c r="AB326" s="228" t="str">
        <f t="shared" ref="AB326:AB357" si="49">B326&amp;C326</f>
        <v>TungstenJapan New Metals Co., Ltd.</v>
      </c>
    </row>
    <row r="327" spans="1:28" s="227" customFormat="1" ht="216">
      <c r="A327" s="181"/>
      <c r="B327" s="182" t="s">
        <v>1101</v>
      </c>
      <c r="C327" s="186" t="s">
        <v>1346</v>
      </c>
      <c r="D327" s="230" t="s">
        <v>1346</v>
      </c>
      <c r="E327" s="182" t="s">
        <v>1069</v>
      </c>
      <c r="F327" s="182" t="s">
        <v>772</v>
      </c>
      <c r="G327" s="182" t="s">
        <v>13177</v>
      </c>
      <c r="H327" s="183" t="s">
        <v>16244</v>
      </c>
      <c r="I327" s="184" t="s">
        <v>1702</v>
      </c>
      <c r="J327" s="184" t="s">
        <v>13535</v>
      </c>
      <c r="K327" s="224"/>
      <c r="L327" s="224"/>
      <c r="M327" s="224"/>
      <c r="N327" s="224" t="s">
        <v>16483</v>
      </c>
      <c r="O327" s="224" t="s">
        <v>16542</v>
      </c>
      <c r="P327" s="185"/>
      <c r="Q327" s="225" t="s">
        <v>15840</v>
      </c>
      <c r="R327" s="182" t="str">
        <f ca="1">IF(ISERROR($V327),"",OFFSET('Smelter Look-up'!$C$4,$V327-4,0)&amp;"")</f>
        <v>Hunan Jintai New Material Co., Ltd.</v>
      </c>
      <c r="S327" s="181" t="str">
        <f t="shared" ca="1" si="47"/>
        <v>CN</v>
      </c>
      <c r="T327" s="181" t="str">
        <f ca="1">IF(B327="","",IF(ISERROR(MATCH($J327,SorP!$B$1:$B$6226,0)),"",INDIRECT("'SorP'!$A$"&amp;MATCH($S327&amp;$J327,SorP!C:C,0))))</f>
        <v>CN-HN</v>
      </c>
      <c r="U327" s="201"/>
      <c r="V327" s="226">
        <f>IF(C327="",NA(),IF(OR(C327="Smelter not listed",C327="Smelter not yet identified"),MATCH($B327&amp;$D327,'Smelter Look-up'!$J:$J,0),MATCH($B327&amp;$C327,'Smelter Look-up'!$J:$J,0)))</f>
        <v>587</v>
      </c>
      <c r="X327" s="227">
        <f t="shared" si="48"/>
        <v>0</v>
      </c>
      <c r="AB327" s="228" t="str">
        <f t="shared" si="49"/>
        <v>TungstenHunan Chunchang Nonferrous Metals Co., Ltd.</v>
      </c>
    </row>
    <row r="328" spans="1:28" s="227" customFormat="1" ht="216">
      <c r="A328" s="181"/>
      <c r="B328" s="182" t="s">
        <v>1101</v>
      </c>
      <c r="C328" s="186" t="s">
        <v>2166</v>
      </c>
      <c r="D328" s="230" t="s">
        <v>2166</v>
      </c>
      <c r="E328" s="182" t="s">
        <v>1069</v>
      </c>
      <c r="F328" s="182" t="s">
        <v>16543</v>
      </c>
      <c r="G328" s="182" t="s">
        <v>13177</v>
      </c>
      <c r="H328" s="183" t="s">
        <v>16544</v>
      </c>
      <c r="I328" s="184" t="s">
        <v>2089</v>
      </c>
      <c r="J328" s="184" t="s">
        <v>13535</v>
      </c>
      <c r="K328" s="224"/>
      <c r="L328" s="224"/>
      <c r="M328" s="224"/>
      <c r="N328" s="224" t="s">
        <v>12533</v>
      </c>
      <c r="O328" s="224" t="s">
        <v>16545</v>
      </c>
      <c r="P328" s="185"/>
      <c r="Q328" s="225" t="s">
        <v>15840</v>
      </c>
      <c r="R328" s="182" t="str">
        <f ca="1">IF(ISERROR($V328),"",OFFSET('Smelter Look-up'!$C$4,$V328-4,0)&amp;"")</f>
        <v/>
      </c>
      <c r="S328" s="181" t="str">
        <f t="shared" ca="1" si="47"/>
        <v>CN</v>
      </c>
      <c r="T328" s="181" t="str">
        <f ca="1">IF(B328="","",IF(ISERROR(MATCH($J328,SorP!$B$1:$B$6226,0)),"",INDIRECT("'SorP'!$A$"&amp;MATCH($S328&amp;$J328,SorP!C:C,0))))</f>
        <v>CN-HN</v>
      </c>
      <c r="U328" s="201"/>
      <c r="V328" s="226" t="e">
        <f>IF(C328="",NA(),IF(OR(C328="Smelter not listed",C328="Smelter not yet identified"),MATCH($B328&amp;$D328,'Smelter Look-up'!$J:$J,0),MATCH($B328&amp;$C328,'Smelter Look-up'!$J:$J,0)))</f>
        <v>#N/A</v>
      </c>
      <c r="X328" s="227">
        <f t="shared" si="48"/>
        <v>0</v>
      </c>
      <c r="AB328" s="228" t="str">
        <f t="shared" si="49"/>
        <v>TungstenHunan Chenzhou Mining Co., Ltd.</v>
      </c>
    </row>
    <row r="329" spans="1:28" s="227" customFormat="1" ht="216">
      <c r="A329" s="181"/>
      <c r="B329" s="182" t="s">
        <v>1101</v>
      </c>
      <c r="C329" s="186" t="s">
        <v>16546</v>
      </c>
      <c r="D329" s="230" t="s">
        <v>16546</v>
      </c>
      <c r="E329" s="182" t="s">
        <v>2384</v>
      </c>
      <c r="F329" s="182" t="s">
        <v>771</v>
      </c>
      <c r="G329" s="182" t="s">
        <v>13177</v>
      </c>
      <c r="H329" s="183" t="s">
        <v>16547</v>
      </c>
      <c r="I329" s="184" t="s">
        <v>1783</v>
      </c>
      <c r="J329" s="184" t="s">
        <v>1699</v>
      </c>
      <c r="K329" s="224"/>
      <c r="L329" s="224"/>
      <c r="M329" s="224"/>
      <c r="N329" s="224" t="s">
        <v>16548</v>
      </c>
      <c r="O329" s="224" t="s">
        <v>16549</v>
      </c>
      <c r="P329" s="185"/>
      <c r="Q329" s="225" t="s">
        <v>15840</v>
      </c>
      <c r="R329" s="182" t="str">
        <f ca="1">IF(ISERROR($V329),"",OFFSET('Smelter Look-up'!$C$4,$V329-4,0)&amp;"")</f>
        <v/>
      </c>
      <c r="S329" s="181" t="str">
        <f t="shared" ca="1" si="47"/>
        <v>US</v>
      </c>
      <c r="T329" s="181" t="str">
        <f ca="1">IF(B329="","",IF(ISERROR(MATCH($J329,SorP!$B$1:$B$6226,0)),"",INDIRECT("'SorP'!$A$"&amp;MATCH($S329&amp;$J329,SorP!C:C,0))))</f>
        <v>US-PA</v>
      </c>
      <c r="U329" s="201"/>
      <c r="V329" s="226" t="e">
        <f>IF(C329="",NA(),IF(OR(C329="Smelter not listed",C329="Smelter not yet identified"),MATCH($B329&amp;$D329,'Smelter Look-up'!$J:$J,0),MATCH($B329&amp;$C329,'Smelter Look-up'!$J:$J,0)))</f>
        <v>#N/A</v>
      </c>
      <c r="X329" s="227">
        <f t="shared" si="48"/>
        <v>0</v>
      </c>
      <c r="AB329" s="228" t="str">
        <f t="shared" si="49"/>
        <v>TungstenGlobal Tungsten &amp; Powders Corp.</v>
      </c>
    </row>
    <row r="330" spans="1:28" s="227" customFormat="1" ht="27">
      <c r="A330" s="181"/>
      <c r="B330" s="182" t="s">
        <v>1101</v>
      </c>
      <c r="C330" s="186" t="s">
        <v>2098</v>
      </c>
      <c r="D330" s="230" t="s">
        <v>2098</v>
      </c>
      <c r="E330" s="182" t="s">
        <v>1069</v>
      </c>
      <c r="F330" s="182" t="s">
        <v>13725</v>
      </c>
      <c r="G330" s="182" t="s">
        <v>13177</v>
      </c>
      <c r="H330" s="183" t="s">
        <v>16550</v>
      </c>
      <c r="I330" s="184" t="s">
        <v>1718</v>
      </c>
      <c r="J330" s="184" t="s">
        <v>13515</v>
      </c>
      <c r="K330" s="224"/>
      <c r="L330" s="224"/>
      <c r="M330" s="224"/>
      <c r="N330" s="224">
        <v>-2146826246</v>
      </c>
      <c r="O330" s="224" t="s">
        <v>15835</v>
      </c>
      <c r="P330" s="185"/>
      <c r="Q330" s="225"/>
      <c r="R330" s="182" t="str">
        <f ca="1">IF(ISERROR($V330),"",OFFSET('Smelter Look-up'!$C$4,$V330-4,0)&amp;"")</f>
        <v>CNMC (Guangxi) PGMA Co., Ltd.</v>
      </c>
      <c r="S330" s="181" t="str">
        <f t="shared" ca="1" si="47"/>
        <v>CN</v>
      </c>
      <c r="T330" s="181" t="str">
        <f ca="1">IF(B330="","",IF(ISERROR(MATCH($J330,SorP!$B$1:$B$6226,0)),"",INDIRECT("'SorP'!$A$"&amp;MATCH($S330&amp;$J330,SorP!C:C,0))))</f>
        <v>CN-GX</v>
      </c>
      <c r="U330" s="201"/>
      <c r="V330" s="226">
        <f>IF(C330="",NA(),IF(OR(C330="Smelter not listed",C330="Smelter not yet identified"),MATCH($B330&amp;$D330,'Smelter Look-up'!$J:$J,0),MATCH($B330&amp;$C330,'Smelter Look-up'!$J:$J,0)))</f>
        <v>570</v>
      </c>
      <c r="X330" s="227">
        <f t="shared" si="48"/>
        <v>0</v>
      </c>
      <c r="AB330" s="228" t="str">
        <f t="shared" si="49"/>
        <v>TungstenCNMC (Guangxi) PGMA Co., Ltd.</v>
      </c>
    </row>
    <row r="331" spans="1:28" s="227" customFormat="1" ht="108">
      <c r="A331" s="181"/>
      <c r="B331" s="182" t="s">
        <v>1101</v>
      </c>
      <c r="C331" s="186" t="s">
        <v>1344</v>
      </c>
      <c r="D331" s="230" t="s">
        <v>1344</v>
      </c>
      <c r="E331" s="182" t="s">
        <v>1069</v>
      </c>
      <c r="F331" s="182" t="s">
        <v>770</v>
      </c>
      <c r="G331" s="182" t="s">
        <v>13177</v>
      </c>
      <c r="H331" s="183" t="s">
        <v>16432</v>
      </c>
      <c r="I331" s="184" t="s">
        <v>1732</v>
      </c>
      <c r="J331" s="184" t="s">
        <v>13531</v>
      </c>
      <c r="K331" s="224"/>
      <c r="L331" s="224"/>
      <c r="M331" s="224"/>
      <c r="N331" s="224" t="s">
        <v>16483</v>
      </c>
      <c r="O331" s="224" t="s">
        <v>16551</v>
      </c>
      <c r="P331" s="185"/>
      <c r="Q331" s="225" t="s">
        <v>15840</v>
      </c>
      <c r="R331" s="182" t="str">
        <f ca="1">IF(ISERROR($V331),"",OFFSET('Smelter Look-up'!$C$4,$V331-4,0)&amp;"")</f>
        <v>Chongyi Zhangyuan Tungsten Co., Ltd.</v>
      </c>
      <c r="S331" s="181" t="str">
        <f t="shared" ca="1" si="47"/>
        <v>CN</v>
      </c>
      <c r="T331" s="181" t="str">
        <f ca="1">IF(B331="","",IF(ISERROR(MATCH($J331,SorP!$B$1:$B$6226,0)),"",INDIRECT("'SorP'!$A$"&amp;MATCH($S331&amp;$J331,SorP!C:C,0))))</f>
        <v>CN-JX</v>
      </c>
      <c r="U331" s="201"/>
      <c r="V331" s="226">
        <f>IF(C331="",NA(),IF(OR(C331="Smelter not listed",C331="Smelter not yet identified"),MATCH($B331&amp;$D331,'Smelter Look-up'!$J:$J,0),MATCH($B331&amp;$C331,'Smelter Look-up'!$J:$J,0)))</f>
        <v>569</v>
      </c>
      <c r="X331" s="227">
        <f t="shared" si="48"/>
        <v>0</v>
      </c>
      <c r="AB331" s="228" t="str">
        <f t="shared" si="49"/>
        <v>TungstenChongyi Zhangyuan Tungsten Co., Ltd.</v>
      </c>
    </row>
    <row r="332" spans="1:28" s="227" customFormat="1" ht="229.5">
      <c r="A332" s="181"/>
      <c r="B332" s="182" t="s">
        <v>1101</v>
      </c>
      <c r="C332" s="186" t="s">
        <v>1345</v>
      </c>
      <c r="D332" s="230" t="s">
        <v>1345</v>
      </c>
      <c r="E332" s="182" t="s">
        <v>1069</v>
      </c>
      <c r="F332" s="182" t="s">
        <v>769</v>
      </c>
      <c r="G332" s="182" t="s">
        <v>13177</v>
      </c>
      <c r="H332" s="183" t="s">
        <v>16314</v>
      </c>
      <c r="I332" s="184" t="s">
        <v>1781</v>
      </c>
      <c r="J332" s="184" t="s">
        <v>13536</v>
      </c>
      <c r="K332" s="224"/>
      <c r="L332" s="224"/>
      <c r="M332" s="224"/>
      <c r="N332" s="224" t="s">
        <v>16483</v>
      </c>
      <c r="O332" s="224" t="s">
        <v>16552</v>
      </c>
      <c r="P332" s="185"/>
      <c r="Q332" s="225" t="s">
        <v>15840</v>
      </c>
      <c r="R332" s="182" t="str">
        <f ca="1">IF(ISERROR($V332),"",OFFSET('Smelter Look-up'!$C$4,$V332-4,0)&amp;"")</f>
        <v>Guangdong Xianglu Tungsten Co., Ltd.</v>
      </c>
      <c r="S332" s="181" t="str">
        <f t="shared" ca="1" si="47"/>
        <v>CN</v>
      </c>
      <c r="T332" s="181" t="str">
        <f ca="1">IF(B332="","",IF(ISERROR(MATCH($J332,SorP!$B$1:$B$6226,0)),"",INDIRECT("'SorP'!$A$"&amp;MATCH($S332&amp;$J332,SorP!C:C,0))))</f>
        <v>CN-GD</v>
      </c>
      <c r="U332" s="201"/>
      <c r="V332" s="226">
        <f>IF(C332="",NA(),IF(OR(C332="Smelter not listed",C332="Smelter not yet identified"),MATCH($B332&amp;$D332,'Smelter Look-up'!$J:$J,0),MATCH($B332&amp;$C332,'Smelter Look-up'!$J:$J,0)))</f>
        <v>580</v>
      </c>
      <c r="X332" s="227">
        <f t="shared" si="48"/>
        <v>0</v>
      </c>
      <c r="AB332" s="228" t="str">
        <f t="shared" si="49"/>
        <v>TungstenGuangdong Xianglu Tungsten Co., Ltd.</v>
      </c>
    </row>
    <row r="333" spans="1:28" s="227" customFormat="1" ht="121.5">
      <c r="A333" s="181"/>
      <c r="B333" s="182" t="s">
        <v>1101</v>
      </c>
      <c r="C333" s="186" t="s">
        <v>140</v>
      </c>
      <c r="D333" s="230" t="s">
        <v>140</v>
      </c>
      <c r="E333" s="182" t="s">
        <v>2384</v>
      </c>
      <c r="F333" s="182" t="s">
        <v>768</v>
      </c>
      <c r="G333" s="182" t="s">
        <v>13177</v>
      </c>
      <c r="H333" s="183" t="s">
        <v>16553</v>
      </c>
      <c r="I333" s="184" t="s">
        <v>1779</v>
      </c>
      <c r="J333" s="184" t="s">
        <v>1780</v>
      </c>
      <c r="K333" s="224"/>
      <c r="L333" s="224"/>
      <c r="M333" s="224"/>
      <c r="N333" s="224" t="s">
        <v>16496</v>
      </c>
      <c r="O333" s="224" t="s">
        <v>16554</v>
      </c>
      <c r="P333" s="185"/>
      <c r="Q333" s="225" t="s">
        <v>15840</v>
      </c>
      <c r="R333" s="182" t="str">
        <f ca="1">IF(ISERROR($V333),"",OFFSET('Smelter Look-up'!$C$4,$V333-4,0)&amp;"")</f>
        <v>Kennametal Huntsville</v>
      </c>
      <c r="S333" s="181" t="str">
        <f t="shared" ca="1" si="47"/>
        <v>US</v>
      </c>
      <c r="T333" s="181" t="str">
        <f ca="1">IF(B333="","",IF(ISERROR(MATCH($J333,SorP!$B$1:$B$6226,0)),"",INDIRECT("'SorP'!$A$"&amp;MATCH($S333&amp;$J333,SorP!C:C,0))))</f>
        <v>US-AL</v>
      </c>
      <c r="U333" s="201"/>
      <c r="V333" s="226">
        <f>IF(C333="",NA(),IF(OR(C333="Smelter not listed",C333="Smelter not yet identified"),MATCH($B333&amp;$D333,'Smelter Look-up'!$J:$J,0),MATCH($B333&amp;$C333,'Smelter Look-up'!$J:$J,0)))</f>
        <v>604</v>
      </c>
      <c r="X333" s="227">
        <f t="shared" si="48"/>
        <v>0</v>
      </c>
      <c r="AB333" s="228" t="str">
        <f t="shared" si="49"/>
        <v>TungstenKennametal Huntsville</v>
      </c>
    </row>
    <row r="334" spans="1:28" s="227" customFormat="1" ht="148.5">
      <c r="A334" s="181"/>
      <c r="B334" s="182" t="s">
        <v>1101</v>
      </c>
      <c r="C334" s="186" t="s">
        <v>13721</v>
      </c>
      <c r="D334" s="230" t="s">
        <v>13721</v>
      </c>
      <c r="E334" s="182" t="s">
        <v>1077</v>
      </c>
      <c r="F334" s="182" t="s">
        <v>767</v>
      </c>
      <c r="G334" s="182" t="s">
        <v>13177</v>
      </c>
      <c r="H334" s="183" t="s">
        <v>16555</v>
      </c>
      <c r="I334" s="184" t="s">
        <v>2087</v>
      </c>
      <c r="J334" s="184" t="s">
        <v>2088</v>
      </c>
      <c r="K334" s="224"/>
      <c r="L334" s="224"/>
      <c r="M334" s="224"/>
      <c r="N334" s="224" t="s">
        <v>16496</v>
      </c>
      <c r="O334" s="224" t="s">
        <v>16556</v>
      </c>
      <c r="P334" s="185"/>
      <c r="Q334" s="225" t="s">
        <v>15840</v>
      </c>
      <c r="R334" s="182" t="str">
        <f ca="1">IF(ISERROR($V334),"",OFFSET('Smelter Look-up'!$C$4,$V334-4,0)&amp;"")</f>
        <v>A.L.M.T. Corp.</v>
      </c>
      <c r="S334" s="181" t="str">
        <f t="shared" ca="1" si="47"/>
        <v>JP</v>
      </c>
      <c r="T334" s="181" t="str">
        <f ca="1">IF(B334="","",IF(ISERROR(MATCH($J334,SorP!$B$1:$B$6226,0)),"",INDIRECT("'SorP'!$A$"&amp;MATCH($S334&amp;$J334,SorP!C:C,0))))</f>
        <v>JP-16</v>
      </c>
      <c r="U334" s="201"/>
      <c r="V334" s="226">
        <f>IF(C334="",NA(),IF(OR(C334="Smelter not listed",C334="Smelter not yet identified"),MATCH($B334&amp;$D334,'Smelter Look-up'!$J:$J,0),MATCH($B334&amp;$C334,'Smelter Look-up'!$J:$J,0)))</f>
        <v>553</v>
      </c>
      <c r="X334" s="227">
        <f t="shared" si="48"/>
        <v>0</v>
      </c>
      <c r="AB334" s="228" t="str">
        <f t="shared" si="49"/>
        <v>TungstenA.L.M.T. Corp.</v>
      </c>
    </row>
    <row r="335" spans="1:28" s="227" customFormat="1" ht="20">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7"/>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8"/>
        <v>0</v>
      </c>
      <c r="AB356" s="228" t="str">
        <f t="shared" si="49"/>
        <v/>
      </c>
    </row>
    <row r="357" spans="1:28" s="227" customFormat="1" ht="20">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7"/>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48"/>
        <v>0</v>
      </c>
      <c r="AB357" s="228" t="str">
        <f t="shared" si="49"/>
        <v/>
      </c>
    </row>
    <row r="358" spans="1:28" s="227" customFormat="1" ht="20">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0">IF(B358="","",IF(ISERROR(MATCH($E358,CL,0)),"Unknown",INDIRECT("'C'!$A$"&amp;MATCH($E358,CL,0)+1)))</f>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ref="X358:X388" ca="1" si="51">IF(AND(C358="Smelter not listed",OR(LEN(D358)=0,LEN(E358)=0)),1,0)</f>
        <v>0</v>
      </c>
      <c r="AB358" s="228" t="str">
        <f t="shared" ref="AB358:AB388" si="52">B358&amp;C358</f>
        <v/>
      </c>
    </row>
    <row r="359" spans="1:28" s="227" customFormat="1" ht="20">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20">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0"/>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1"/>
        <v>0</v>
      </c>
      <c r="AB388" s="228" t="str">
        <f t="shared" si="52"/>
        <v/>
      </c>
    </row>
    <row r="389" spans="1:28" s="227" customFormat="1" ht="20">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3">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54">IF(AND(C389="Smelter not listed",OR(LEN(D389)=0,LEN(E389)=0)),1,0)</f>
        <v>0</v>
      </c>
      <c r="AB389" s="228" t="str">
        <f t="shared" ref="AB389" si="55">B389&amp;C389</f>
        <v/>
      </c>
    </row>
    <row r="390" spans="1:28" s="227" customFormat="1" ht="20">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6">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57">IF(AND(C390="Smelter not listed",OR(LEN(D390)=0,LEN(E390)=0)),1,0)</f>
        <v>0</v>
      </c>
      <c r="AB390" s="228" t="str">
        <f t="shared" ref="AB390:AB421" si="58">B390&amp;C390</f>
        <v/>
      </c>
    </row>
    <row r="391" spans="1:28" s="227" customFormat="1" ht="20">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20">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6"/>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7"/>
        <v>0</v>
      </c>
      <c r="AB421" s="228" t="str">
        <f t="shared" si="58"/>
        <v/>
      </c>
    </row>
    <row r="422" spans="1:28" s="227" customFormat="1" ht="20">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59">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0">IF(AND(C422="Smelter not listed",OR(LEN(D422)=0,LEN(E422)=0)),1,0)</f>
        <v>0</v>
      </c>
      <c r="AB422" s="228" t="str">
        <f t="shared" ref="AB422:AB452" si="61">B422&amp;C422</f>
        <v/>
      </c>
    </row>
    <row r="423" spans="1:28" s="227" customFormat="1" ht="20">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59"/>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0"/>
        <v>0</v>
      </c>
      <c r="AB452" s="228" t="str">
        <f t="shared" si="61"/>
        <v/>
      </c>
    </row>
    <row r="453" spans="1:28" s="227" customFormat="1" ht="20">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2">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63">IF(AND(C453="Smelter not listed",OR(LEN(D453)=0,LEN(E453)=0)),1,0)</f>
        <v>0</v>
      </c>
      <c r="AB453" s="228" t="str">
        <f t="shared" ref="AB453" si="64">B453&amp;C453</f>
        <v/>
      </c>
    </row>
    <row r="454" spans="1:28" s="227" customFormat="1" ht="20">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5">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66">IF(AND(C454="Smelter not listed",OR(LEN(D454)=0,LEN(E454)=0)),1,0)</f>
        <v>0</v>
      </c>
      <c r="AB454" s="228" t="str">
        <f t="shared" ref="AB454:AB485" si="67">B454&amp;C454</f>
        <v/>
      </c>
    </row>
    <row r="455" spans="1:28" s="227" customFormat="1" ht="20">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5"/>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6"/>
        <v>0</v>
      </c>
      <c r="AB485" s="228" t="str">
        <f t="shared" si="67"/>
        <v/>
      </c>
    </row>
    <row r="486" spans="1:28" s="227" customFormat="1" ht="20">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8">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69">IF(AND(C486="Smelter not listed",OR(LEN(D486)=0,LEN(E486)=0)),1,0)</f>
        <v>0</v>
      </c>
      <c r="AB486" s="228" t="str">
        <f t="shared" ref="AB486:AB516" si="70">B486&amp;C486</f>
        <v/>
      </c>
    </row>
    <row r="487" spans="1:28" s="227" customFormat="1" ht="20">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8"/>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69"/>
        <v>0</v>
      </c>
      <c r="AB516" s="228" t="str">
        <f t="shared" si="70"/>
        <v/>
      </c>
    </row>
    <row r="517" spans="1:28" s="227" customFormat="1" ht="20">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1">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2">IF(AND(C517="Smelter not listed",OR(LEN(D517)=0,LEN(E517)=0)),1,0)</f>
        <v>0</v>
      </c>
      <c r="AB517" s="228" t="str">
        <f t="shared" ref="AB517" si="73">B517&amp;C517</f>
        <v/>
      </c>
    </row>
    <row r="518" spans="1:28" s="227" customFormat="1" ht="20">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4">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5">IF(AND(C518="Smelter not listed",OR(LEN(D518)=0,LEN(E518)=0)),1,0)</f>
        <v>0</v>
      </c>
      <c r="AB518" s="228" t="str">
        <f t="shared" ref="AB518:AB549" si="76">B518&amp;C518</f>
        <v/>
      </c>
    </row>
    <row r="519" spans="1:28" s="227" customFormat="1" ht="20">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4"/>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5"/>
        <v>0</v>
      </c>
      <c r="AB549" s="228" t="str">
        <f t="shared" si="76"/>
        <v/>
      </c>
    </row>
    <row r="550" spans="1:28" s="227" customFormat="1" ht="20">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7">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8">IF(AND(C550="Smelter not listed",OR(LEN(D550)=0,LEN(E550)=0)),1,0)</f>
        <v>0</v>
      </c>
      <c r="AB550" s="228" t="str">
        <f t="shared" ref="AB550:AB580" si="79">B550&amp;C550</f>
        <v/>
      </c>
    </row>
    <row r="551" spans="1:28" s="227" customFormat="1" ht="20">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7"/>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8"/>
        <v>0</v>
      </c>
      <c r="AB580" s="228" t="str">
        <f t="shared" si="79"/>
        <v/>
      </c>
    </row>
    <row r="581" spans="1:28" s="227" customFormat="1" ht="20">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0">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1">IF(AND(C581="Smelter not listed",OR(LEN(D581)=0,LEN(E581)=0)),1,0)</f>
        <v>0</v>
      </c>
      <c r="AB581" s="228" t="str">
        <f t="shared" ref="AB581" si="82">B581&amp;C581</f>
        <v/>
      </c>
    </row>
    <row r="582" spans="1:28" s="227" customFormat="1" ht="20">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3">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4">IF(AND(C586="Smelter not listed",OR(LEN(D586)=0,LEN(E586)=0)),1,0)</f>
        <v>0</v>
      </c>
      <c r="AB586" s="228" t="str">
        <f t="shared" ref="AB586" si="85">B586&amp;C586</f>
        <v/>
      </c>
    </row>
    <row r="587" spans="1:28" s="227" customFormat="1" ht="20">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6">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7">IF(AND(C587="Smelter not listed",OR(LEN(D587)=0,LEN(E587)=0)),1,0)</f>
        <v>0</v>
      </c>
      <c r="AB587" s="228" t="str">
        <f t="shared" ref="AB587:AB634" si="88">B587&amp;C587</f>
        <v/>
      </c>
    </row>
    <row r="588" spans="1:28" s="227" customFormat="1" ht="20">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7"/>
        <v>0</v>
      </c>
      <c r="AB634" s="228" t="str">
        <f t="shared" si="88"/>
        <v/>
      </c>
    </row>
    <row r="635" spans="1:28" s="227" customFormat="1" ht="20">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0">IF(AND(C635="Smelter not listed",OR(LEN(D635)=0,LEN(E635)=0)),1,0)</f>
        <v>0</v>
      </c>
      <c r="AB635" s="228" t="str">
        <f t="shared" ref="AB635" si="91">B635&amp;C635</f>
        <v/>
      </c>
    </row>
    <row r="636" spans="1:28" s="227" customFormat="1" ht="20">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si="94">B636&amp;C636</f>
        <v/>
      </c>
    </row>
    <row r="637" spans="1:28" s="227" customFormat="1" ht="20">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3"/>
        <v>0</v>
      </c>
      <c r="AB667" s="228" t="str">
        <f t="shared" si="94"/>
        <v/>
      </c>
    </row>
    <row r="668" spans="1:28" s="227" customFormat="1" ht="20">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si="97">B668&amp;C668</f>
        <v/>
      </c>
    </row>
    <row r="669" spans="1:28" s="227" customFormat="1" ht="20">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6"/>
        <v>0</v>
      </c>
      <c r="AB698" s="228" t="str">
        <f t="shared" si="97"/>
        <v/>
      </c>
    </row>
    <row r="699" spans="1:28" s="227" customFormat="1" ht="20">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99">IF(AND(C699="Smelter not listed",OR(LEN(D699)=0,LEN(E699)=0)),1,0)</f>
        <v>0</v>
      </c>
      <c r="AB699" s="228" t="str">
        <f t="shared" ref="AB699" si="100">B699&amp;C699</f>
        <v/>
      </c>
    </row>
    <row r="700" spans="1:28" s="227" customFormat="1" ht="20">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si="103">B700&amp;C700</f>
        <v/>
      </c>
    </row>
    <row r="701" spans="1:28" s="227" customFormat="1" ht="20">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2"/>
        <v>0</v>
      </c>
      <c r="AB731" s="228" t="str">
        <f t="shared" si="103"/>
        <v/>
      </c>
    </row>
    <row r="732" spans="1:28" s="227" customFormat="1" ht="20">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si="106">B732&amp;C732</f>
        <v/>
      </c>
    </row>
    <row r="733" spans="1:28" s="227" customFormat="1" ht="20">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5"/>
        <v>0</v>
      </c>
      <c r="AB762" s="228" t="str">
        <f t="shared" si="106"/>
        <v/>
      </c>
    </row>
    <row r="763" spans="1:28" s="227" customFormat="1" ht="20">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8">IF(AND(C763="Smelter not listed",OR(LEN(D763)=0,LEN(E763)=0)),1,0)</f>
        <v>0</v>
      </c>
      <c r="AB763" s="228" t="str">
        <f t="shared" ref="AB763" si="109">B763&amp;C763</f>
        <v/>
      </c>
    </row>
    <row r="764" spans="1:28" s="227" customFormat="1" ht="20">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si="112">B764&amp;C764</f>
        <v/>
      </c>
    </row>
    <row r="765" spans="1:28" s="227" customFormat="1" ht="20">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1"/>
        <v>0</v>
      </c>
      <c r="AB795" s="228" t="str">
        <f t="shared" si="112"/>
        <v/>
      </c>
    </row>
    <row r="796" spans="1:28" s="227" customFormat="1" ht="20">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si="115">B796&amp;C796</f>
        <v/>
      </c>
    </row>
    <row r="797" spans="1:28" s="227" customFormat="1" ht="20">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4"/>
        <v>0</v>
      </c>
      <c r="AB826" s="228" t="str">
        <f t="shared" si="115"/>
        <v/>
      </c>
    </row>
    <row r="827" spans="1:28" s="227" customFormat="1" ht="20">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7">IF(AND(C827="Smelter not listed",OR(LEN(D827)=0,LEN(E827)=0)),1,0)</f>
        <v>0</v>
      </c>
      <c r="AB827" s="228" t="str">
        <f t="shared" ref="AB827" si="118">B827&amp;C827</f>
        <v/>
      </c>
    </row>
    <row r="828" spans="1:28" s="227" customFormat="1" ht="20">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si="121">B828&amp;C828</f>
        <v/>
      </c>
    </row>
    <row r="829" spans="1:28" s="227" customFormat="1" ht="20">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0"/>
        <v>0</v>
      </c>
      <c r="AB859" s="228" t="str">
        <f t="shared" si="121"/>
        <v/>
      </c>
    </row>
    <row r="860" spans="1:28" s="227" customFormat="1" ht="20">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si="124">B860&amp;C860</f>
        <v/>
      </c>
    </row>
    <row r="861" spans="1:28" s="227" customFormat="1" ht="20">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3"/>
        <v>0</v>
      </c>
      <c r="AB890" s="228" t="str">
        <f t="shared" si="124"/>
        <v/>
      </c>
    </row>
    <row r="891" spans="1:28" s="227" customFormat="1" ht="20">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6">IF(AND(C891="Smelter not listed",OR(LEN(D891)=0,LEN(E891)=0)),1,0)</f>
        <v>0</v>
      </c>
      <c r="AB891" s="228" t="str">
        <f t="shared" ref="AB891" si="127">B891&amp;C891</f>
        <v/>
      </c>
    </row>
    <row r="892" spans="1:28" s="227" customFormat="1" ht="20">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si="130">B892&amp;C892</f>
        <v/>
      </c>
    </row>
    <row r="893" spans="1:28" s="227" customFormat="1" ht="20">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9"/>
        <v>0</v>
      </c>
      <c r="AB923" s="228" t="str">
        <f t="shared" si="130"/>
        <v/>
      </c>
    </row>
    <row r="924" spans="1:28" s="227" customFormat="1" ht="20">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si="133">B924&amp;C924</f>
        <v/>
      </c>
    </row>
    <row r="925" spans="1:28" s="227" customFormat="1" ht="20">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2"/>
        <v>0</v>
      </c>
      <c r="AB954" s="228" t="str">
        <f t="shared" si="133"/>
        <v/>
      </c>
    </row>
    <row r="955" spans="1:28" s="227" customFormat="1" ht="20">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5">IF(AND(C955="Smelter not listed",OR(LEN(D955)=0,LEN(E955)=0)),1,0)</f>
        <v>0</v>
      </c>
      <c r="AB955" s="228" t="str">
        <f t="shared" ref="AB955" si="136">B955&amp;C955</f>
        <v/>
      </c>
    </row>
    <row r="956" spans="1:28" s="227" customFormat="1" ht="20">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si="139">B956&amp;C956</f>
        <v/>
      </c>
    </row>
    <row r="957" spans="1:28" s="227" customFormat="1" ht="20">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8"/>
        <v>0</v>
      </c>
      <c r="AB987" s="228" t="str">
        <f t="shared" si="139"/>
        <v/>
      </c>
    </row>
    <row r="988" spans="1:28" s="227" customFormat="1" ht="20">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si="142">B988&amp;C988</f>
        <v/>
      </c>
    </row>
    <row r="989" spans="1:28" s="227" customFormat="1" ht="20">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1"/>
        <v>0</v>
      </c>
      <c r="AB1018" s="228" t="str">
        <f t="shared" si="142"/>
        <v/>
      </c>
    </row>
    <row r="1019" spans="1:28" s="227" customFormat="1" ht="20">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si="145">B1019&amp;C1019</f>
        <v/>
      </c>
    </row>
    <row r="1020" spans="1:28" s="227" customFormat="1" ht="20">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si="148">B1020&amp;C1020</f>
        <v/>
      </c>
    </row>
    <row r="1021" spans="1:28" s="227" customFormat="1" ht="20">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7"/>
        <v>0</v>
      </c>
      <c r="AB1051" s="228" t="str">
        <f t="shared" si="148"/>
        <v/>
      </c>
    </row>
    <row r="1052" spans="1:28" s="227" customFormat="1" ht="20">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si="151">B1052&amp;C1052</f>
        <v/>
      </c>
    </row>
    <row r="1053" spans="1:28" s="227" customFormat="1" ht="20">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0"/>
        <v>0</v>
      </c>
      <c r="AB1082" s="228" t="str">
        <f t="shared" si="151"/>
        <v/>
      </c>
    </row>
    <row r="1083" spans="1:28" s="227" customFormat="1" ht="20">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si="154">B1083&amp;C1083</f>
        <v/>
      </c>
    </row>
    <row r="1084" spans="1:28" s="227" customFormat="1" ht="20">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si="157">B1084&amp;C1084</f>
        <v/>
      </c>
    </row>
    <row r="1085" spans="1:28" s="227" customFormat="1" ht="20">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6"/>
        <v>0</v>
      </c>
      <c r="AB1115" s="228" t="str">
        <f t="shared" si="157"/>
        <v/>
      </c>
    </row>
    <row r="1116" spans="1:28" s="227" customFormat="1" ht="20">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si="160">B1116&amp;C1116</f>
        <v/>
      </c>
    </row>
    <row r="1117" spans="1:28" s="227" customFormat="1" ht="20">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59"/>
        <v>0</v>
      </c>
      <c r="AB1146" s="228" t="str">
        <f t="shared" si="160"/>
        <v/>
      </c>
    </row>
    <row r="1147" spans="1:28" s="227" customFormat="1" ht="20">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si="163">B1147&amp;C1147</f>
        <v/>
      </c>
    </row>
    <row r="1148" spans="1:28" s="227" customFormat="1" ht="20">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si="166">B1148&amp;C1148</f>
        <v/>
      </c>
    </row>
    <row r="1149" spans="1:28" s="227" customFormat="1" ht="20">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5"/>
        <v>0</v>
      </c>
      <c r="AB1179" s="228" t="str">
        <f t="shared" si="166"/>
        <v/>
      </c>
    </row>
    <row r="1180" spans="1:28" s="227" customFormat="1" ht="20">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si="169">B1180&amp;C1180</f>
        <v/>
      </c>
    </row>
    <row r="1181" spans="1:28" s="227" customFormat="1" ht="20">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8"/>
        <v>0</v>
      </c>
      <c r="AB1210" s="228" t="str">
        <f t="shared" si="169"/>
        <v/>
      </c>
    </row>
    <row r="1211" spans="1:28" s="227" customFormat="1" ht="20">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si="172">B1211&amp;C1211</f>
        <v/>
      </c>
    </row>
    <row r="1212" spans="1:28" s="227" customFormat="1" ht="20">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si="175">B1212&amp;C1212</f>
        <v/>
      </c>
    </row>
    <row r="1213" spans="1:28" s="227" customFormat="1" ht="20">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4"/>
        <v>0</v>
      </c>
      <c r="AB1243" s="228" t="str">
        <f t="shared" si="175"/>
        <v/>
      </c>
    </row>
    <row r="1244" spans="1:28" s="227" customFormat="1" ht="20">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si="178">B1244&amp;C1244</f>
        <v/>
      </c>
    </row>
    <row r="1245" spans="1:28" s="227" customFormat="1" ht="20">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7"/>
        <v>0</v>
      </c>
      <c r="AB1274" s="228" t="str">
        <f t="shared" si="178"/>
        <v/>
      </c>
    </row>
    <row r="1275" spans="1:28" s="227" customFormat="1" ht="20">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si="181">B1275&amp;C1275</f>
        <v/>
      </c>
    </row>
    <row r="1276" spans="1:28" s="227" customFormat="1" ht="20">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si="184">B1276&amp;C1276</f>
        <v/>
      </c>
    </row>
    <row r="1277" spans="1:28" s="227" customFormat="1" ht="20">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3"/>
        <v>0</v>
      </c>
      <c r="AB1307" s="228" t="str">
        <f t="shared" si="184"/>
        <v/>
      </c>
    </row>
    <row r="1308" spans="1:28" s="227" customFormat="1" ht="20">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si="187">B1308&amp;C1308</f>
        <v/>
      </c>
    </row>
    <row r="1309" spans="1:28" s="227" customFormat="1" ht="20">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6"/>
        <v>0</v>
      </c>
      <c r="AB1338" s="228" t="str">
        <f t="shared" si="187"/>
        <v/>
      </c>
    </row>
    <row r="1339" spans="1:28" s="227" customFormat="1" ht="20">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si="190">B1339&amp;C1339</f>
        <v/>
      </c>
    </row>
    <row r="1340" spans="1:28" s="227" customFormat="1" ht="20">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si="193">B1340&amp;C1340</f>
        <v/>
      </c>
    </row>
    <row r="1341" spans="1:28" s="227" customFormat="1" ht="20">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2"/>
        <v>0</v>
      </c>
      <c r="AB1371" s="228" t="str">
        <f t="shared" si="193"/>
        <v/>
      </c>
    </row>
    <row r="1372" spans="1:28" s="227" customFormat="1" ht="20">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si="196">B1372&amp;C1372</f>
        <v/>
      </c>
    </row>
    <row r="1373" spans="1:28" s="227" customFormat="1" ht="20">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5"/>
        <v>0</v>
      </c>
      <c r="AB1402" s="228" t="str">
        <f t="shared" si="196"/>
        <v/>
      </c>
    </row>
    <row r="1403" spans="1:28" s="227" customFormat="1" ht="20">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si="199">B1403&amp;C1403</f>
        <v/>
      </c>
    </row>
    <row r="1404" spans="1:28" s="227" customFormat="1" ht="20">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si="202">B1404&amp;C1404</f>
        <v/>
      </c>
    </row>
    <row r="1405" spans="1:28" s="227" customFormat="1" ht="20">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1"/>
        <v>0</v>
      </c>
      <c r="AB1435" s="228" t="str">
        <f t="shared" si="202"/>
        <v/>
      </c>
    </row>
    <row r="1436" spans="1:28" s="227" customFormat="1" ht="20">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si="205">B1436&amp;C1436</f>
        <v/>
      </c>
    </row>
    <row r="1437" spans="1:28" s="227" customFormat="1" ht="20">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4"/>
        <v>0</v>
      </c>
      <c r="AB1466" s="228" t="str">
        <f t="shared" si="205"/>
        <v/>
      </c>
    </row>
    <row r="1467" spans="1:28" s="227" customFormat="1" ht="20">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si="208">B1467&amp;C1467</f>
        <v/>
      </c>
    </row>
    <row r="1468" spans="1:28" s="227" customFormat="1" ht="20">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si="211">B1468&amp;C1468</f>
        <v/>
      </c>
    </row>
    <row r="1469" spans="1:28" s="227" customFormat="1" ht="20">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0"/>
        <v>0</v>
      </c>
      <c r="AB1499" s="228" t="str">
        <f t="shared" si="211"/>
        <v/>
      </c>
    </row>
    <row r="1500" spans="1:28" s="227" customFormat="1" ht="20">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si="214">B1500&amp;C1500</f>
        <v/>
      </c>
    </row>
    <row r="1501" spans="1:28" s="227" customFormat="1" ht="20">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3"/>
        <v>0</v>
      </c>
      <c r="AB1530" s="228" t="str">
        <f t="shared" si="214"/>
        <v/>
      </c>
    </row>
    <row r="1531" spans="1:28" s="227" customFormat="1" ht="20">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si="217">B1531&amp;C1531</f>
        <v/>
      </c>
    </row>
    <row r="1532" spans="1:28" s="227" customFormat="1" ht="20">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si="220">B1532&amp;C1532</f>
        <v/>
      </c>
    </row>
    <row r="1533" spans="1:28" s="227" customFormat="1" ht="20">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9"/>
        <v>0</v>
      </c>
      <c r="AB1563" s="228" t="str">
        <f t="shared" si="220"/>
        <v/>
      </c>
    </row>
    <row r="1564" spans="1:28" s="227" customFormat="1" ht="20">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si="223">B1564&amp;C1564</f>
        <v/>
      </c>
    </row>
    <row r="1565" spans="1:28" s="227" customFormat="1" ht="20">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2"/>
        <v>0</v>
      </c>
      <c r="AB1594" s="228" t="str">
        <f t="shared" si="223"/>
        <v/>
      </c>
    </row>
    <row r="1595" spans="1:28" s="227" customFormat="1" ht="20">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si="226">B1595&amp;C1595</f>
        <v/>
      </c>
    </row>
    <row r="1596" spans="1:28" s="227" customFormat="1" ht="20">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si="229">B1596&amp;C1596</f>
        <v/>
      </c>
    </row>
    <row r="1597" spans="1:28" s="227" customFormat="1" ht="20">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8"/>
        <v>0</v>
      </c>
      <c r="AB1627" s="228" t="str">
        <f t="shared" si="229"/>
        <v/>
      </c>
    </row>
    <row r="1628" spans="1:28" s="227" customFormat="1" ht="20">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si="232">B1628&amp;C1628</f>
        <v/>
      </c>
    </row>
    <row r="1629" spans="1:28" s="227" customFormat="1" ht="20">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1"/>
        <v>0</v>
      </c>
      <c r="AB1658" s="228" t="str">
        <f t="shared" si="232"/>
        <v/>
      </c>
    </row>
    <row r="1659" spans="1:28" s="227" customFormat="1" ht="20">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si="235">B1659&amp;C1659</f>
        <v/>
      </c>
    </row>
    <row r="1660" spans="1:28" s="227" customFormat="1" ht="20">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si="238">B1660&amp;C1660</f>
        <v/>
      </c>
    </row>
    <row r="1661" spans="1:28" s="227" customFormat="1" ht="20">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7"/>
        <v>0</v>
      </c>
      <c r="AB1691" s="228" t="str">
        <f t="shared" si="238"/>
        <v/>
      </c>
    </row>
    <row r="1692" spans="1:28" s="227" customFormat="1" ht="20">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si="241">B1692&amp;C1692</f>
        <v/>
      </c>
    </row>
    <row r="1693" spans="1:28" s="227" customFormat="1" ht="20">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0"/>
        <v>0</v>
      </c>
      <c r="AB1722" s="228" t="str">
        <f t="shared" si="241"/>
        <v/>
      </c>
    </row>
    <row r="1723" spans="1:28" s="227" customFormat="1" ht="20">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si="244">B1723&amp;C1723</f>
        <v/>
      </c>
    </row>
    <row r="1724" spans="1:28" s="227" customFormat="1" ht="20">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si="247">B1724&amp;C1724</f>
        <v/>
      </c>
    </row>
    <row r="1725" spans="1:28" s="227" customFormat="1" ht="20">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6"/>
        <v>0</v>
      </c>
      <c r="AB1755" s="228" t="str">
        <f t="shared" si="247"/>
        <v/>
      </c>
    </row>
    <row r="1756" spans="1:28" s="227" customFormat="1" ht="20">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si="250">B1756&amp;C1756</f>
        <v/>
      </c>
    </row>
    <row r="1757" spans="1:28" s="227" customFormat="1" ht="20">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49"/>
        <v>0</v>
      </c>
      <c r="AB1786" s="228" t="str">
        <f t="shared" si="250"/>
        <v/>
      </c>
    </row>
    <row r="1787" spans="1:28" s="227" customFormat="1" ht="20">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si="253">B1787&amp;C1787</f>
        <v/>
      </c>
    </row>
    <row r="1788" spans="1:28" s="227" customFormat="1" ht="20">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si="256">B1788&amp;C1788</f>
        <v/>
      </c>
    </row>
    <row r="1789" spans="1:28" s="227" customFormat="1" ht="20">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5"/>
        <v>0</v>
      </c>
      <c r="AB1819" s="228" t="str">
        <f t="shared" si="256"/>
        <v/>
      </c>
    </row>
    <row r="1820" spans="1:28" s="227" customFormat="1" ht="20">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si="259">B1820&amp;C1820</f>
        <v/>
      </c>
    </row>
    <row r="1821" spans="1:28" s="227" customFormat="1" ht="20">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8"/>
        <v>0</v>
      </c>
      <c r="AB1850" s="228" t="str">
        <f t="shared" si="259"/>
        <v/>
      </c>
    </row>
    <row r="1851" spans="1:28" s="227" customFormat="1" ht="20">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si="262">B1851&amp;C1851</f>
        <v/>
      </c>
    </row>
    <row r="1852" spans="1:28" s="227" customFormat="1" ht="20">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si="265">B1852&amp;C1852</f>
        <v/>
      </c>
    </row>
    <row r="1853" spans="1:28" s="227" customFormat="1" ht="20">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4"/>
        <v>0</v>
      </c>
      <c r="AB1883" s="228" t="str">
        <f t="shared" si="265"/>
        <v/>
      </c>
    </row>
    <row r="1884" spans="1:28" s="227" customFormat="1" ht="20">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si="268">B1884&amp;C1884</f>
        <v/>
      </c>
    </row>
    <row r="1885" spans="1:28" s="227" customFormat="1" ht="20">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7"/>
        <v>0</v>
      </c>
      <c r="AB1914" s="228" t="str">
        <f t="shared" si="268"/>
        <v/>
      </c>
    </row>
    <row r="1915" spans="1:28" s="227" customFormat="1" ht="20">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si="271">B1915&amp;C1915</f>
        <v/>
      </c>
    </row>
    <row r="1916" spans="1:28" s="227" customFormat="1" ht="20">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si="274">B1916&amp;C1916</f>
        <v/>
      </c>
    </row>
    <row r="1917" spans="1:28" s="227" customFormat="1" ht="20">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3"/>
        <v>0</v>
      </c>
      <c r="AB1947" s="228" t="str">
        <f t="shared" si="274"/>
        <v/>
      </c>
    </row>
    <row r="1948" spans="1:28" s="227" customFormat="1" ht="20">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si="277">B1948&amp;C1948</f>
        <v/>
      </c>
    </row>
    <row r="1949" spans="1:28" s="227" customFormat="1" ht="20">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6"/>
        <v>0</v>
      </c>
      <c r="AB1978" s="228" t="str">
        <f t="shared" si="277"/>
        <v/>
      </c>
    </row>
    <row r="1979" spans="1:28" s="227" customFormat="1" ht="20">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si="280">B1979&amp;C1979</f>
        <v/>
      </c>
    </row>
    <row r="1980" spans="1:28" s="227" customFormat="1" ht="20">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si="283">B1980&amp;C1980</f>
        <v/>
      </c>
    </row>
    <row r="1981" spans="1:28" s="227" customFormat="1" ht="20">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2"/>
        <v>0</v>
      </c>
      <c r="AB2011" s="228" t="str">
        <f t="shared" si="283"/>
        <v/>
      </c>
    </row>
    <row r="2012" spans="1:28" s="227" customFormat="1" ht="20">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si="286">B2012&amp;C2012</f>
        <v/>
      </c>
    </row>
    <row r="2013" spans="1:28" s="227" customFormat="1" ht="20">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5"/>
        <v>0</v>
      </c>
      <c r="AB2042" s="228" t="str">
        <f t="shared" si="286"/>
        <v/>
      </c>
    </row>
    <row r="2043" spans="1:28" s="227" customFormat="1" ht="20">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si="289">B2043&amp;C2043</f>
        <v/>
      </c>
    </row>
    <row r="2044" spans="1:28" s="227" customFormat="1" ht="20">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si="292">B2044&amp;C2044</f>
        <v/>
      </c>
    </row>
    <row r="2045" spans="1:28" s="227" customFormat="1" ht="20">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1"/>
        <v>0</v>
      </c>
      <c r="AB2075" s="228" t="str">
        <f t="shared" si="292"/>
        <v/>
      </c>
    </row>
    <row r="2076" spans="1:28" s="227" customFormat="1" ht="20">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si="295">B2076&amp;C2076</f>
        <v/>
      </c>
    </row>
    <row r="2077" spans="1:28" s="227" customFormat="1" ht="20">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4"/>
        <v>0</v>
      </c>
      <c r="AB2106" s="228" t="str">
        <f t="shared" si="295"/>
        <v/>
      </c>
    </row>
    <row r="2107" spans="1:28" s="227" customFormat="1" ht="20">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si="298">B2107&amp;C2107</f>
        <v/>
      </c>
    </row>
    <row r="2108" spans="1:28" s="227" customFormat="1" ht="20">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si="301">B2108&amp;C2108</f>
        <v/>
      </c>
    </row>
    <row r="2109" spans="1:28" s="227" customFormat="1" ht="20">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0"/>
        <v>0</v>
      </c>
      <c r="AB2139" s="228" t="str">
        <f t="shared" si="301"/>
        <v/>
      </c>
    </row>
    <row r="2140" spans="1:28" s="227" customFormat="1" ht="20">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si="304">B2140&amp;C2140</f>
        <v/>
      </c>
    </row>
    <row r="2141" spans="1:28" s="227" customFormat="1" ht="20">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3"/>
        <v>0</v>
      </c>
      <c r="AB2170" s="228" t="str">
        <f t="shared" si="304"/>
        <v/>
      </c>
    </row>
    <row r="2171" spans="1:28" s="227" customFormat="1" ht="20">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si="307">B2171&amp;C2171</f>
        <v/>
      </c>
    </row>
    <row r="2172" spans="1:28" s="227" customFormat="1" ht="20">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si="310">B2172&amp;C2172</f>
        <v/>
      </c>
    </row>
    <row r="2173" spans="1:28" s="227" customFormat="1" ht="20">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9"/>
        <v>0</v>
      </c>
      <c r="AB2203" s="228" t="str">
        <f t="shared" si="310"/>
        <v/>
      </c>
    </row>
    <row r="2204" spans="1:28" s="227" customFormat="1" ht="20">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si="313">B2204&amp;C2204</f>
        <v/>
      </c>
    </row>
    <row r="2205" spans="1:28" s="227" customFormat="1" ht="20">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2"/>
        <v>0</v>
      </c>
      <c r="AB2234" s="228" t="str">
        <f t="shared" si="313"/>
        <v/>
      </c>
    </row>
    <row r="2235" spans="1:28" s="227" customFormat="1" ht="20">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si="316">B2235&amp;C2235</f>
        <v/>
      </c>
    </row>
    <row r="2236" spans="1:28" s="227" customFormat="1" ht="20">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si="319">B2236&amp;C2236</f>
        <v/>
      </c>
    </row>
    <row r="2237" spans="1:28" s="227" customFormat="1" ht="20">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8"/>
        <v>0</v>
      </c>
      <c r="AB2267" s="228" t="str">
        <f t="shared" si="319"/>
        <v/>
      </c>
    </row>
    <row r="2268" spans="1:28" s="227" customFormat="1" ht="20">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si="322">B2268&amp;C2268</f>
        <v/>
      </c>
    </row>
    <row r="2269" spans="1:28" s="227" customFormat="1" ht="20">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1"/>
        <v>0</v>
      </c>
      <c r="AB2298" s="228" t="str">
        <f t="shared" si="322"/>
        <v/>
      </c>
    </row>
    <row r="2299" spans="1:28" s="227" customFormat="1" ht="20">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si="325">B2299&amp;C2299</f>
        <v/>
      </c>
    </row>
    <row r="2300" spans="1:28" s="227" customFormat="1" ht="20">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si="328">B2300&amp;C2300</f>
        <v/>
      </c>
    </row>
    <row r="2301" spans="1:28" s="227" customFormat="1" ht="20">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7"/>
        <v>0</v>
      </c>
      <c r="AB2331" s="228" t="str">
        <f t="shared" si="328"/>
        <v/>
      </c>
    </row>
    <row r="2332" spans="1:28" s="227" customFormat="1" ht="20">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si="331">B2332&amp;C2332</f>
        <v/>
      </c>
    </row>
    <row r="2333" spans="1:28" s="227" customFormat="1" ht="20">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0"/>
        <v>0</v>
      </c>
      <c r="AB2362" s="228" t="str">
        <f t="shared" si="331"/>
        <v/>
      </c>
    </row>
    <row r="2363" spans="1:28" s="227" customFormat="1" ht="20">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si="334">B2363&amp;C2363</f>
        <v/>
      </c>
    </row>
    <row r="2364" spans="1:28" s="227" customFormat="1" ht="20">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si="337">B2364&amp;C2364</f>
        <v/>
      </c>
    </row>
    <row r="2365" spans="1:28" s="227" customFormat="1" ht="20">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6"/>
        <v>0</v>
      </c>
      <c r="AB2395" s="228" t="str">
        <f t="shared" si="337"/>
        <v/>
      </c>
    </row>
    <row r="2396" spans="1:28" s="227" customFormat="1" ht="20">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si="340">B2396&amp;C2396</f>
        <v/>
      </c>
    </row>
    <row r="2397" spans="1:28" s="227" customFormat="1" ht="20">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39"/>
        <v>0</v>
      </c>
      <c r="AB2426" s="228" t="str">
        <f t="shared" si="340"/>
        <v/>
      </c>
    </row>
    <row r="2427" spans="1:28" s="227" customFormat="1" ht="20">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si="343">B2427&amp;C2427</f>
        <v/>
      </c>
    </row>
    <row r="2428" spans="1:28" s="227" customFormat="1" ht="20">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si="346">B2428&amp;C2428</f>
        <v/>
      </c>
    </row>
    <row r="2429" spans="1:28" s="227" customFormat="1" ht="20">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5"/>
        <v>0</v>
      </c>
      <c r="AB2459" s="228" t="str">
        <f t="shared" si="346"/>
        <v/>
      </c>
    </row>
    <row r="2460" spans="1:28" s="227" customFormat="1" ht="20">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si="349">B2460&amp;C2460</f>
        <v/>
      </c>
    </row>
    <row r="2461" spans="1:28" s="227" customFormat="1" ht="20">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si="349"/>
        <v/>
      </c>
    </row>
    <row r="2491" spans="1:28" s="227" customFormat="1" ht="20">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 t="shared" ref="AB2491" si="351">B2491&amp;C2491</f>
        <v/>
      </c>
    </row>
    <row r="2492" spans="1:28" s="227" customFormat="1" ht="20">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8"/>
        <v>0</v>
      </c>
      <c r="AB2492" s="228" t="str">
        <f>B2492&amp;C2492</f>
        <v/>
      </c>
    </row>
    <row r="2493" spans="1:28" s="227" customFormat="1" ht="20">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3"/>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4"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9CB34EDC-D4AD-4BCC-9488-7AB5B4471837}"/>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65"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9" customWidth="1"/>
    <col min="2" max="2" width="42.84375" style="20" customWidth="1"/>
    <col min="3" max="3" width="51.61328125" style="19" customWidth="1"/>
    <col min="4" max="4" width="29.15234375" style="20" customWidth="1"/>
    <col min="5" max="5" width="9" style="19" customWidth="1"/>
    <col min="6" max="6" width="13.61328125" style="19" hidden="1" customWidth="1"/>
    <col min="7" max="7" width="13.3828125" style="19" hidden="1" customWidth="1"/>
    <col min="8" max="9" width="9" style="19" hidden="1" customWidth="1"/>
    <col min="10" max="10" width="48.84375" style="19" hidden="1" customWidth="1"/>
    <col min="11" max="11" width="9" style="19" hidden="1" customWidth="1"/>
    <col min="12" max="15" width="8.84375" style="19" hidden="1" customWidth="1"/>
    <col min="16" max="18" width="8.84375" style="19" customWidth="1"/>
    <col min="19" max="16384" width="8.843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5">
      <c r="A2" s="66" t="s">
        <v>869</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41">
      <c r="A4" s="90" t="str">
        <f ca="1">Declaration!B8</f>
        <v>Company Name (*):</v>
      </c>
      <c r="B4" s="89" t="str">
        <f>Declaration!D8</f>
        <v>Tecnotion B.V.</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41">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41">
      <c r="A6" s="90" t="str">
        <f ca="1">Declaration!B10</f>
        <v>Description of Scope:</v>
      </c>
      <c r="B6" s="89">
        <f>Declaration!D10</f>
        <v>0</v>
      </c>
      <c r="C6" s="89" t="str">
        <f ca="1">IF(H6=1,J6,I6)</f>
        <v>Complete</v>
      </c>
      <c r="D6" s="95" t="str">
        <f>IF(H6=1,"Click here to provide a Description of Scope","")</f>
        <v/>
      </c>
      <c r="E6" s="20" t="s">
        <v>1273</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41">
      <c r="A7" s="90" t="str">
        <f ca="1">Declaration!B15</f>
        <v>Contact Name (*):</v>
      </c>
      <c r="B7" s="89" t="str">
        <f>Declaration!D15</f>
        <v>JPM van Alen</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41">
      <c r="A8" s="90" t="str">
        <f ca="1">Declaration!B16</f>
        <v>Email – Contact (*):</v>
      </c>
      <c r="B8" s="89" t="str">
        <f>Declaration!D16</f>
        <v>Pieterjan.van.alen@tecnotion.com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41">
      <c r="A9" s="90" t="str">
        <f ca="1">Declaration!B17</f>
        <v>Phone – Contact (*):</v>
      </c>
      <c r="B9" s="273" t="str">
        <f>Declaration!D17</f>
        <v>31(0)54636314</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41">
      <c r="A10" s="90" t="str">
        <f ca="1">Declaration!B18</f>
        <v>Authorizer (*):</v>
      </c>
      <c r="B10" s="89" t="str">
        <f>Declaration!D18</f>
        <v>A. Mulder</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41">
      <c r="A11" s="90" t="str">
        <f ca="1">Declaration!B20</f>
        <v>Email - Authorizer (*):</v>
      </c>
      <c r="B11" s="89" t="str">
        <f>Declaration!D20</f>
        <v>Aldo.Mulder@tecnotion.com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41">
      <c r="A12" s="90" t="str">
        <f ca="1">Declaration!B22</f>
        <v>Effective Date (*):</v>
      </c>
      <c r="B12" s="91">
        <f>Declaration!D22</f>
        <v>45992</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7.5">
      <c r="A13" s="89" t="str">
        <f ca="1">Declaration!B25</f>
        <v>1) Is any 3TG intentionally added or used in the product(s) or in the production process? (*)</v>
      </c>
      <c r="B13" s="92"/>
      <c r="C13" s="92"/>
      <c r="D13" s="96"/>
      <c r="E13" s="20" t="s">
        <v>783</v>
      </c>
      <c r="F13" s="93"/>
      <c r="H13" s="19">
        <f t="shared" si="3"/>
        <v>0</v>
      </c>
    </row>
    <row r="14" spans="1:10" ht="27.5">
      <c r="A14" s="90" t="str">
        <f ca="1">Declaration!B26</f>
        <v>Tantalum  (*)</v>
      </c>
      <c r="B14" s="89" t="str">
        <f>Declaration!D26</f>
        <v>Yes</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41">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41">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41">
      <c r="A17" s="90" t="str">
        <f ca="1">Declaration!B29</f>
        <v>Tungsten  (*)</v>
      </c>
      <c r="B17" s="89" t="str">
        <f>Declaration!D29</f>
        <v>Yes</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4">
      <c r="A18" s="89" t="str">
        <f ca="1">Declaration!B31</f>
        <v>2) Does any 3TG remain in the product(s)? (*)</v>
      </c>
      <c r="B18" s="92"/>
      <c r="C18" s="92"/>
      <c r="D18" s="96"/>
      <c r="E18" s="20" t="s">
        <v>781</v>
      </c>
      <c r="F18" s="93"/>
      <c r="J18" s="148"/>
    </row>
    <row r="19" spans="1:10" ht="41">
      <c r="A19" s="90" t="str">
        <f ca="1">Declaration!B32</f>
        <v>Tantalum  (*)</v>
      </c>
      <c r="B19" s="89" t="str">
        <f>IF($B$14="Yes",Declaration!D32,0)</f>
        <v>Yes</v>
      </c>
      <c r="C19" s="89" t="str">
        <f ca="1">IF(H19=1,J19,I19)</f>
        <v>Complete</v>
      </c>
      <c r="D19" s="97" t="str">
        <f>IF(H19=1,"Click here to answer question 2 for Tantalum","")</f>
        <v/>
      </c>
      <c r="E19" s="20" t="s">
        <v>780</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41">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41">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41">
      <c r="A22" s="90" t="str">
        <f ca="1">Declaration!B35</f>
        <v>Tungsten  (*)</v>
      </c>
      <c r="B22" s="89" t="str">
        <f>IF($B$17="Yes",Declaration!D35,0)</f>
        <v>Yes</v>
      </c>
      <c r="C22" s="89" t="str">
        <f ca="1">IF(H22=1,J22,I22)</f>
        <v>Complete</v>
      </c>
      <c r="D22" s="97" t="str">
        <f>IF(H22=1,"Click here to answer question 2 for Tungsten","")</f>
        <v/>
      </c>
      <c r="E22" s="20" t="s">
        <v>780</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41">
      <c r="A24" s="90" t="str">
        <f ca="1">Declaration!B38</f>
        <v>Tantalum  (*)</v>
      </c>
      <c r="B24" s="89" t="str">
        <f>IF(AND($B$14="Yes",$B$19="Yes"),Declaration!D38,0)</f>
        <v>Yes</v>
      </c>
      <c r="C24" s="89" t="str">
        <f ca="1">IF(H24=1,J24,I24)</f>
        <v>Complete</v>
      </c>
      <c r="D24" s="97" t="str">
        <f>IF(H24=1,"Click here to answer question 3 for Tantalum","")</f>
        <v/>
      </c>
      <c r="E24" s="20" t="s">
        <v>780</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41">
      <c r="A25" s="90" t="str">
        <f ca="1">Declaration!B39</f>
        <v>Tin  (*)</v>
      </c>
      <c r="B25" s="89" t="str">
        <f>IF(AND($B$15="Yes",$B$20="Yes"),Declaration!D39,0)</f>
        <v>Yes</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41">
      <c r="A26" s="90" t="str">
        <f ca="1">Declaration!B40</f>
        <v>Gold  (*)</v>
      </c>
      <c r="B26" s="89" t="str">
        <f>IF(AND($B$16="Yes",$B$21="Yes"),Declaration!D40,0)</f>
        <v>Yes</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41">
      <c r="A27" s="90" t="str">
        <f ca="1">Declaration!B41</f>
        <v>Tungsten  (*)</v>
      </c>
      <c r="B27" s="89" t="str">
        <f>IF(AND($B$17="Yes",$B$22="Yes"),Declaration!D41,0)</f>
        <v>Yes</v>
      </c>
      <c r="C27" s="89" t="str">
        <f ca="1">IF(H27=1,J27,I27)</f>
        <v>Complete</v>
      </c>
      <c r="D27" s="97" t="str">
        <f>IF(H27=1,"Click here to answer question 3 for Tungsten","")</f>
        <v/>
      </c>
      <c r="E27" s="20" t="s">
        <v>780</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9" t="str">
        <f ca="1">Declaration!B43</f>
        <v>4) Do any of the smelters in your supply chain source the 3TG from conflict-affected and high-risk areas? (*)</v>
      </c>
      <c r="B28" s="89"/>
      <c r="C28" s="89"/>
      <c r="D28" s="97"/>
      <c r="E28" s="20"/>
      <c r="F28" s="20"/>
      <c r="G28" s="20"/>
      <c r="I28" s="147"/>
    </row>
    <row r="29" spans="1:10" ht="41.15" customHeight="1">
      <c r="A29" s="90" t="str">
        <f ca="1">Declaration!B44</f>
        <v>Tantalum  (*)</v>
      </c>
      <c r="B29" s="89" t="str">
        <f>IF(AND($B$14="Yes",$B$19="Yes"),Declaration!D44,0)</f>
        <v>Yes</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90" t="str">
        <f ca="1">Declaration!B45</f>
        <v>Tin  (*)</v>
      </c>
      <c r="B30" s="89" t="str">
        <f>IF(AND($B$15="Yes",$B$20="Yes"),Declaration!D45,0)</f>
        <v>Yes</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90" t="str">
        <f ca="1">Declaration!B46</f>
        <v>Gold  (*)</v>
      </c>
      <c r="B31" s="89" t="str">
        <f>IF(AND($B$16="Yes",$B$21="Yes"),Declaration!D46,0)</f>
        <v>Yes</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90" t="str">
        <f ca="1">Declaration!B47</f>
        <v>Tungsten  (*)</v>
      </c>
      <c r="B32" s="89" t="str">
        <f>IF(AND($B$17="Yes",$B$22="Yes"),Declaration!D47,0)</f>
        <v>Yes</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40.5">
      <c r="A33" s="89" t="str">
        <f ca="1">Declaration!B49</f>
        <v>5) Does 100 percent of the 3TG (necessary to the functionality or production of your products) originate from recycled or scrap sources?  (*)</v>
      </c>
      <c r="B33" s="92"/>
      <c r="C33" s="92"/>
      <c r="D33" s="96"/>
      <c r="E33" s="20" t="s">
        <v>1273</v>
      </c>
      <c r="F33" s="93"/>
      <c r="J33" s="148"/>
    </row>
    <row r="34" spans="1:10" ht="41">
      <c r="A34" s="90" t="str">
        <f ca="1">Declaration!B50</f>
        <v>Tantalum  (*)</v>
      </c>
      <c r="B34" s="89" t="str">
        <f>IF(AND($B$14="Yes",$B$19="Yes"),Declaration!D50,0)</f>
        <v>No</v>
      </c>
      <c r="C34" s="89" t="str">
        <f ca="1">IF(H34=1,J34,I34)</f>
        <v>Complete</v>
      </c>
      <c r="D34" s="260" t="str">
        <f>IF(H34=1,"Click here to answer question 5 for Tantalum","")</f>
        <v/>
      </c>
      <c r="E34" s="20" t="s">
        <v>1273</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41">
      <c r="A35" s="90" t="str">
        <f ca="1">Declaration!B51</f>
        <v>Tin  (*)</v>
      </c>
      <c r="B35" s="89" t="str">
        <f>IF(AND($B$15="Yes",$B$20="Yes"),Declaration!D51,0)</f>
        <v>No</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41">
      <c r="A36" s="90" t="str">
        <f ca="1">Declaration!B52</f>
        <v>Gold  (*)</v>
      </c>
      <c r="B36" s="89" t="str">
        <f>IF(AND($B$16="Yes",$B$21="Yes"),Declaration!D52,0)</f>
        <v>No</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41">
      <c r="A37" s="90" t="str">
        <f ca="1">Declaration!B53</f>
        <v>Tungsten  (*)</v>
      </c>
      <c r="B37" s="89" t="str">
        <f>IF(AND($B$17="Yes",$B$22="Yes"),Declaration!D53,0)</f>
        <v>No</v>
      </c>
      <c r="C37" s="89" t="str">
        <f ca="1">IF(H37=1,J37,I37)</f>
        <v>Complete</v>
      </c>
      <c r="D37" s="260" t="str">
        <f>IF(H37=1,"Click here to answer question 5 for Tungsten","")</f>
        <v/>
      </c>
      <c r="E37" s="20" t="s">
        <v>1273</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40.5">
      <c r="A38" s="89" t="str">
        <f ca="1">Declaration!B55</f>
        <v>6) What percentage of relevant suppliers have provided a response to your supply chain survey?  (*)</v>
      </c>
      <c r="B38" s="92"/>
      <c r="C38" s="92"/>
      <c r="D38" s="96"/>
      <c r="E38" s="20" t="s">
        <v>780</v>
      </c>
      <c r="F38" s="93"/>
    </row>
    <row r="39" spans="1:10" ht="27.5">
      <c r="A39" s="90" t="str">
        <f ca="1">Declaration!B56</f>
        <v>Tantalum  (*)</v>
      </c>
      <c r="B39" s="268" t="str">
        <f>IF(AND($B$14="Yes",$B$19="Yes"),Declaration!D56,0)</f>
        <v>Greater than 90%</v>
      </c>
      <c r="C39" s="89" t="str">
        <f ca="1">IF(H39=1,J39,I39)</f>
        <v>Complete</v>
      </c>
      <c r="D39" s="261" t="str">
        <f>IF(H39=1,"Click here to answer question 6 for Tantalum","")</f>
        <v/>
      </c>
      <c r="E39" s="20" t="s">
        <v>779</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7.5">
      <c r="A40" s="90" t="str">
        <f ca="1">Declaration!B57</f>
        <v>Tin  (*)</v>
      </c>
      <c r="B40" s="268" t="str">
        <f>IF(AND($B$15="Yes",$B$20="Yes"),Declaration!D57,0)</f>
        <v>Greater than 90%</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7.5">
      <c r="A41" s="90" t="str">
        <f ca="1">Declaration!B58</f>
        <v>Gold  (*)</v>
      </c>
      <c r="B41" s="268" t="str">
        <f>IF(AND($B$16="Yes",$B$21="Yes"),Declaration!D58,0)</f>
        <v>Greater than 90%</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7.5">
      <c r="A42" s="90" t="str">
        <f ca="1">Declaration!B59</f>
        <v>Tungsten  (*)</v>
      </c>
      <c r="B42" s="268" t="str">
        <f>IF(AND($B$17="Yes",$B$22="Yes"),Declaration!D59,0)</f>
        <v>Greater than 90%</v>
      </c>
      <c r="C42" s="89" t="str">
        <f ca="1">IF(H42=1,J42,I42)</f>
        <v>Complete</v>
      </c>
      <c r="D42" s="261" t="str">
        <f>IF(H42=1,"Click here to answer question 6 for Tungsten","")</f>
        <v/>
      </c>
      <c r="E42" s="20" t="s">
        <v>779</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4">
      <c r="A43" s="89" t="str">
        <f ca="1">Declaration!B61</f>
        <v>7) Have you identified all of the smelters supplying the 3TG to your supply chain?  (*)</v>
      </c>
      <c r="B43" s="92"/>
      <c r="C43" s="92"/>
      <c r="D43" s="96"/>
      <c r="E43" s="20" t="s">
        <v>781</v>
      </c>
      <c r="F43" s="93"/>
    </row>
    <row r="44" spans="1:10" ht="54.5">
      <c r="A44" s="90" t="str">
        <f ca="1">Declaration!B62</f>
        <v>Tantalum  (*)</v>
      </c>
      <c r="B44" s="89" t="str">
        <f>IF(AND($B$14="Yes",$B$19="Yes"),Declaration!D62,0)</f>
        <v>No</v>
      </c>
      <c r="C44" s="89" t="str">
        <f ca="1">IF(H44=1,J44,I44)</f>
        <v>Complete</v>
      </c>
      <c r="D44" s="260" t="str">
        <f>IF(H44=1,"Click here to answer question 7 for Tantalum","")</f>
        <v/>
      </c>
      <c r="E44" s="20" t="s">
        <v>1269</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4.5">
      <c r="A45" s="90" t="str">
        <f ca="1">Declaration!B63</f>
        <v>Tin  (*)</v>
      </c>
      <c r="B45" s="89" t="str">
        <f>IF(AND($B$15="Yes",$B$20="Yes"),Declaration!D63,0)</f>
        <v>No</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4.5">
      <c r="A46" s="90" t="str">
        <f ca="1">Declaration!B64</f>
        <v>Gold  (*)</v>
      </c>
      <c r="B46" s="89" t="str">
        <f>IF(AND($B$16="Yes",$B$21="Yes"),Declaration!D64,0)</f>
        <v>No</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4.5">
      <c r="A47" s="90" t="str">
        <f ca="1">Declaration!B65</f>
        <v>Tungsten  (*)</v>
      </c>
      <c r="B47" s="89" t="str">
        <f>IF(AND($B$17="Yes",$B$22="Yes"),Declaration!D65,0)</f>
        <v>No</v>
      </c>
      <c r="C47" s="89" t="str">
        <f ca="1">IF(H47=1,J47,I47)</f>
        <v>Complete</v>
      </c>
      <c r="D47" s="260" t="str">
        <f>IF(H47=1,"Click here to answer question 7 for Tungsten","")</f>
        <v/>
      </c>
      <c r="E47" s="20" t="s">
        <v>1269</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7.5">
      <c r="A48" s="89" t="str">
        <f ca="1">Declaration!B67</f>
        <v>8) Has all applicable smelter information received by your company been reported in this declaration?  (*)</v>
      </c>
      <c r="B48" s="92"/>
      <c r="C48" s="92"/>
      <c r="D48" s="96"/>
      <c r="E48" s="20" t="s">
        <v>782</v>
      </c>
      <c r="F48" s="93"/>
    </row>
    <row r="49" spans="1:10" ht="41">
      <c r="A49" s="90" t="str">
        <f ca="1">Declaration!B68</f>
        <v>Tantalum  (*)</v>
      </c>
      <c r="B49" s="89" t="str">
        <f>IF(AND($B$14="Yes",$B$19="Yes"),Declaration!D68,0)</f>
        <v>Yes</v>
      </c>
      <c r="C49" s="89" t="str">
        <f ca="1">IF(H49=1,J49,I49)</f>
        <v>Complete</v>
      </c>
      <c r="D49" s="261" t="str">
        <f>IF(H49=1,"Click here to answer question 8 for Tantalum","")</f>
        <v/>
      </c>
      <c r="E49" s="20" t="s">
        <v>780</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41">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41">
      <c r="A51" s="90" t="str">
        <f ca="1">Declaration!B70</f>
        <v>Gold  (*)</v>
      </c>
      <c r="B51" s="89" t="str">
        <f>IF(AND($B$16="Yes",$B$21="Yes"),Declaration!D70,0)</f>
        <v>Yes</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41">
      <c r="A52" s="90" t="str">
        <f ca="1">Declaration!B71</f>
        <v>Tungsten  (*)</v>
      </c>
      <c r="B52" s="89" t="str">
        <f>IF(AND($B$17="Yes",$B$22="Yes"),Declaration!D71,0)</f>
        <v>Yes</v>
      </c>
      <c r="C52" s="89" t="str">
        <f ca="1">IF(H52=1,J52,I52)</f>
        <v>Complete</v>
      </c>
      <c r="D52" s="261" t="str">
        <f>IF(H52=1,"Click here to answer question 8 for Tungsten","")</f>
        <v/>
      </c>
      <c r="E52" s="20" t="s">
        <v>780</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7">
      <c r="A53" s="89" t="str">
        <f ca="1">Declaration!B74</f>
        <v>Question</v>
      </c>
      <c r="B53" s="92"/>
      <c r="C53" s="92"/>
      <c r="D53" s="96"/>
      <c r="E53" s="20" t="s">
        <v>428</v>
      </c>
      <c r="F53" s="93"/>
      <c r="G53" s="93"/>
      <c r="H53" s="93"/>
    </row>
    <row r="54" spans="1:10" ht="41">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 customHeight="1">
      <c r="A56" s="89" t="s">
        <v>3</v>
      </c>
      <c r="B56" s="89" t="str">
        <f>Declaration!G77</f>
        <v>http://www.tecnotion.com/certifications.html</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4">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41">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41">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5" hidden="1">
      <c r="A61" s="89"/>
      <c r="B61" s="89"/>
      <c r="C61" s="89"/>
      <c r="D61" s="95"/>
      <c r="E61" s="20"/>
      <c r="F61" s="94"/>
      <c r="G61" s="70"/>
      <c r="H61" s="71"/>
      <c r="I61" s="147"/>
    </row>
    <row r="62" spans="1:10" ht="41">
      <c r="A62" s="89" t="str">
        <f ca="1">Declaration!B87</f>
        <v>G. Does your review process include corrective action management? (*)</v>
      </c>
      <c r="B62" s="89" t="str">
        <f>Declaration!D87</f>
        <v>No</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41">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41">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41">
      <c r="A65" s="89" t="s">
        <v>14996</v>
      </c>
      <c r="B65" s="89"/>
      <c r="C65" s="89" t="str">
        <f t="shared" ca="1" si="13"/>
        <v>Complete</v>
      </c>
      <c r="D65" s="95" t="str">
        <f>IF(H65=0,"","Click here to provide smelter information")</f>
        <v/>
      </c>
      <c r="E65" s="20" t="s">
        <v>1273</v>
      </c>
      <c r="F65" s="94">
        <f>F24</f>
        <v>1</v>
      </c>
      <c r="G65" s="70">
        <f>IF(AND(COUNTIF(SmelterIdetifiedForMetal,"Tantalum")&gt;0,COUNTIF('Smelter List'!AB$5:AB$2504,"Tantalum?*")&gt;0),0,1)</f>
        <v>0</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41">
      <c r="A66" s="89" t="s">
        <v>1806</v>
      </c>
      <c r="B66" s="89"/>
      <c r="C66" s="89" t="str">
        <f t="shared" ca="1" si="13"/>
        <v>Complete</v>
      </c>
      <c r="D66" s="95" t="str">
        <f>IF(H66=0,"","Click here to provide smelter information")</f>
        <v/>
      </c>
      <c r="E66" s="20" t="s">
        <v>780</v>
      </c>
      <c r="F66" s="94">
        <f>F25</f>
        <v>1</v>
      </c>
      <c r="G66" s="70">
        <f>IF(AND(COUNTIF(SmelterIdetifiedForMetal,"Tin")&gt;0,COUNTIF('Smelter List'!AB$5:AB$2504,"Tin?*")&gt;0),0,1)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41">
      <c r="A67" s="89" t="s">
        <v>1807</v>
      </c>
      <c r="B67" s="89"/>
      <c r="C67" s="89" t="str">
        <f t="shared" ca="1" si="13"/>
        <v>Complete</v>
      </c>
      <c r="D67" s="95" t="str">
        <f>IF(H67=0,"","Click here to provide smelter information")</f>
        <v/>
      </c>
      <c r="E67" s="20" t="s">
        <v>780</v>
      </c>
      <c r="F67" s="94">
        <f>F26</f>
        <v>1</v>
      </c>
      <c r="G67" s="70">
        <f>IF(AND(COUNTIF(SmelterIdetifiedForMetal,"Gold")&gt;0,COUNTIF('Smelter List'!AB$5:AB$2504,"Gold?*")&gt;0),0,1)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41">
      <c r="A68" s="89" t="s">
        <v>1808</v>
      </c>
      <c r="B68" s="89"/>
      <c r="C68" s="89" t="str">
        <f t="shared" ca="1" si="13"/>
        <v>Complete</v>
      </c>
      <c r="D68" s="95" t="str">
        <f>IF(H68=0,"","Click here to provide smelter information")</f>
        <v/>
      </c>
      <c r="E68" s="20" t="s">
        <v>780</v>
      </c>
      <c r="F68" s="94">
        <f>F27</f>
        <v>1</v>
      </c>
      <c r="G68" s="70">
        <f>IF(AND(COUNTIF(SmelterIdetifiedForMetal,"Tungsten")&gt;0,COUNTIF('Smelter List'!AB$5:AB$2504,"Tungsten?*")&gt;0),0,1)</f>
        <v>0</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7">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4"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77" customWidth="1"/>
    <col min="2" max="2" width="39.84375" style="280" customWidth="1"/>
    <col min="3" max="3" width="39.84375" style="277" customWidth="1"/>
    <col min="4" max="4" width="58.84375" style="277" customWidth="1"/>
    <col min="5" max="5" width="1.61328125" style="277" customWidth="1"/>
    <col min="6" max="6" width="9" style="277" customWidth="1"/>
    <col min="7" max="16384" width="8.84375" style="278"/>
  </cols>
  <sheetData>
    <row r="1" spans="1:6" s="21" customFormat="1" ht="35.15"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869</v>
      </c>
      <c r="C4" s="393"/>
      <c r="D4" s="393"/>
      <c r="E4" s="24"/>
      <c r="F4"/>
    </row>
    <row r="5" spans="1:6" s="21" customFormat="1" ht="1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4" customHeight="1" thickBot="1">
      <c r="A2006" s="130"/>
      <c r="B2006" s="396" t="str">
        <f ca="1">OFFSET(L!$C$1,MATCH("General"&amp;"Cpy",L!$A:$A,0)-1,SL,,)</f>
        <v>© 2025 Responsible Minerals Initiative. All rights reserved.</v>
      </c>
      <c r="C2006" s="396"/>
      <c r="D2006" s="396"/>
      <c r="E2006" s="279"/>
    </row>
    <row r="2007" spans="1:5" ht="14"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89" bestFit="1" customWidth="1"/>
    <col min="2" max="2" width="42.84375" style="189" customWidth="1"/>
    <col min="3" max="3" width="63.84375" style="189" customWidth="1"/>
    <col min="4" max="4" width="25.61328125" style="189" customWidth="1"/>
    <col min="5" max="5" width="12.61328125" style="189" customWidth="1"/>
    <col min="6" max="6" width="12.61328125" style="190" customWidth="1"/>
    <col min="7" max="7" width="15.3828125" style="189" customWidth="1"/>
    <col min="8" max="8" width="23.84375" style="189" customWidth="1"/>
    <col min="9" max="9" width="28.15234375" style="189" customWidth="1"/>
    <col min="10" max="10" width="48.23046875" style="189" hidden="1" customWidth="1"/>
    <col min="11" max="11" width="49.69140625" style="189" hidden="1" customWidth="1"/>
    <col min="12" max="16384" width="8.84375" style="189"/>
  </cols>
  <sheetData>
    <row r="1" spans="1:11" ht="168.65"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4375" defaultRowHeight="13.5"/>
  <cols>
    <col min="1" max="1" width="14.61328125" style="155" customWidth="1"/>
    <col min="2" max="2" width="14" style="155" customWidth="1"/>
    <col min="3" max="3" width="6.15234375" style="155" customWidth="1"/>
    <col min="4" max="4" width="56.23046875" style="155" customWidth="1"/>
    <col min="5" max="5" width="53.69140625" style="233" customWidth="1"/>
    <col min="6" max="6" width="54.15234375" style="155" customWidth="1"/>
    <col min="7" max="7" width="68.23046875" style="155" customWidth="1"/>
    <col min="8" max="8" width="49.23046875" style="155" customWidth="1"/>
    <col min="9" max="9" width="51.61328125" style="155" customWidth="1"/>
    <col min="10" max="10" width="50.23046875" style="155" customWidth="1"/>
    <col min="11" max="11" width="51.84375" customWidth="1"/>
    <col min="12" max="12" width="66.84375" style="256" customWidth="1"/>
    <col min="13" max="13" width="46.15234375" style="109" customWidth="1"/>
    <col min="14" max="15" width="8.84375" style="109" customWidth="1"/>
    <col min="16" max="16384" width="8.843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1">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51">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0.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7">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40.5">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0.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0.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40.5">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81">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27">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81">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27">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67.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0.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0.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48.5">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1.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40.5">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391.5">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29.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55">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16">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16">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0.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58">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108">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08">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01.5">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364.5">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03">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188.5">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101.5">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0.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7">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87">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67.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4">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35">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1">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94.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21.5">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67.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3.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3.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4">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37.5">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81">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62">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189">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16">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40.5">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202.5">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27">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10.5">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48.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48.5">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297">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94.5">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40.5">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7">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67.5">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7">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0.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7">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7">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7">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7">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7">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7">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7">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7">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7">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7">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1">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89">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3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48.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67.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3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08">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3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29.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08">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10.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0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7">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67.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7">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48.5">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08">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270">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270">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7">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3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81">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02.5">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189">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175.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7">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7">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40.5">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43.5">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4">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7">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7">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7">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7">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7">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7">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27">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29">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14.5">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4">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40.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0.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29">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29">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40.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7">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7">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67.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4">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27">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29">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40.5">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27">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29">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14.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27">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27">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27">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27">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ht="27">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27">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27">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27">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ht="27">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ht="27">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ht="27">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27">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7">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7">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7">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7">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7">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7">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7">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0.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0.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4">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27">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0.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5">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4">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7">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27">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7">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7">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27">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7">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0.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40.5">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27">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0.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0.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27">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0.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4">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4">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4">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4">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67.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67.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67.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67.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67.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67.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67.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67.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67.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67.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54">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67.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40.5">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4">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4">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4">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0.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0.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0.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0.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4">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54">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4">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4.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54">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40.5">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0.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40.5">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40.5">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40.5">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7">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1">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7">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7">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67.5">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7">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27">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67.5">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Declaration!Afdrukbereik</vt:lpstr>
      <vt:lpstr>Declaration!Afdruktitels</vt:lpstr>
      <vt:lpstr>'Product List'!Afdruktitels</vt:lpstr>
      <vt:lpstr>'Smelter List'!Afdruktitels</vt:lpstr>
      <vt:lpstr>CL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Pieter Jan van Alen</cp:lastModifiedBy>
  <cp:lastPrinted>2015-04-21T20:47:43Z</cp:lastPrinted>
  <dcterms:created xsi:type="dcterms:W3CDTF">2010-06-21T21:00:23Z</dcterms:created>
  <dcterms:modified xsi:type="dcterms:W3CDTF">2025-12-01T12:50:18Z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